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60" windowWidth="20730" windowHeight="11700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Apr!$A$2:$K$19</definedName>
    <definedName name="_xlnm.Print_Area" localSheetId="7">Aug!$A$2:$K$19</definedName>
    <definedName name="_xlnm.Print_Area" localSheetId="11">Dec!$A$2:$K$19</definedName>
    <definedName name="_xlnm.Print_Area" localSheetId="1">Feb!$A$2:$K$19</definedName>
    <definedName name="_xlnm.Print_Area" localSheetId="0">Jan!$A$2:$K$21</definedName>
    <definedName name="_xlnm.Print_Area" localSheetId="6">Jul!$A$2:$K$19</definedName>
    <definedName name="_xlnm.Print_Area" localSheetId="5">Jun!$A$2:$K$19</definedName>
    <definedName name="_xlnm.Print_Area" localSheetId="2">Mar!$A$2:$K$19</definedName>
    <definedName name="_xlnm.Print_Area" localSheetId="4">May!$A$2:$K$19</definedName>
    <definedName name="_xlnm.Print_Area" localSheetId="10">Nov!$A$2:$K$19</definedName>
    <definedName name="_xlnm.Print_Area" localSheetId="9">Oct!$A$2:$K$19</definedName>
    <definedName name="_xlnm.Print_Area" localSheetId="8">Sep!$A$2:$K$19</definedName>
    <definedName name="SepSun1">DATE(CalendarYear,9,1)-WEEKDAY(DATE(CalendarYear,9,1))+1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74" i="6" l="1"/>
  <c r="B57" i="6"/>
  <c r="C76" i="6"/>
  <c r="B76" i="6"/>
  <c r="B39" i="6"/>
  <c r="E41" i="6"/>
  <c r="D41" i="6"/>
  <c r="C41" i="6"/>
  <c r="B41" i="6"/>
  <c r="B22" i="6"/>
  <c r="C24" i="6"/>
  <c r="B24" i="6"/>
  <c r="E5" i="6"/>
  <c r="B3" i="6"/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C5" i="6" l="1"/>
</calcChain>
</file>

<file path=xl/sharedStrings.xml><?xml version="1.0" encoding="utf-8"?>
<sst xmlns="http://schemas.openxmlformats.org/spreadsheetml/2006/main" count="227" uniqueCount="32">
  <si>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</si>
  <si>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</si>
  <si>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</si>
  <si>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</si>
  <si>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</si>
  <si>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</si>
  <si>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</si>
  <si>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</si>
  <si>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</si>
  <si>
    <t>Parent Appreciation Night 6-9 p.m.</t>
  </si>
  <si>
    <t>Open House at Broadmoor Clubhouse 9:30-12:00 p.m.</t>
  </si>
  <si>
    <t>ACL Tallahassee Promotion Ceremony @Tallahassee</t>
  </si>
  <si>
    <t>Christmas Day</t>
  </si>
  <si>
    <t>*Accounts will be credited for holiday classes that are cancelled*</t>
  </si>
  <si>
    <t>Thanksgiving Day</t>
  </si>
  <si>
    <t xml:space="preserve">1ST FRIDAYS RODA! 6:00pm Music Class 6:30pm Adult Roda @ACL Academy  </t>
  </si>
  <si>
    <t>2ND SATURDAYS RODA!                   10:00am Kids Roda @ACL Academy</t>
  </si>
  <si>
    <t xml:space="preserve">1st Night of Hanukkah </t>
  </si>
  <si>
    <t>Kids4-5yrs 4:30pm   Kids 6-12yrs 5:15pm Adults 6:30pm     @ACL Academy</t>
  </si>
  <si>
    <t>Kids4-5yrs 4:30pm       Kids 6-12yrs 5:15pm   @Broadmoor Clubhouse</t>
  </si>
  <si>
    <t>THURSDAY CLASSES BEGIN @  BROADMOOR! Kids4-5yrs 4:30pm       Kids 6-12yrs 5:15pm   @Broadmoor Clubhouse</t>
  </si>
  <si>
    <t>Kids4-5yrs 4:30pm   Kids 6-12yrs 5:15pm Adults 6:30pm     @ACL Academy     School Starts!</t>
  </si>
  <si>
    <t>SANTA FE Community Ed Classes Begin       Kids4-5yrs 4:30pm   Kids 6-12yrs 5:15pm Adults 6:30pm     @ACL Academy</t>
  </si>
  <si>
    <t>SANTA FE Comm Ed Classes End                  Kids4-5yrs 4:30pm   Kids 6-12yrs 5:15pm Adults 6:30pm     @ACL Academy</t>
  </si>
  <si>
    <t>Halloween!</t>
  </si>
  <si>
    <r>
      <t>SATURDAY KIDS CLASS!</t>
    </r>
    <r>
      <rPr>
        <b/>
        <sz val="10"/>
        <color theme="4" tint="-0.499984740745262"/>
        <rFont val="Cambria"/>
        <family val="1"/>
        <scheme val="minor"/>
      </rPr>
      <t xml:space="preserve"> ALL AGES 10:00am             @ ACL Academy</t>
    </r>
  </si>
  <si>
    <r>
      <t xml:space="preserve">SATURDAY KIDS CLASS! </t>
    </r>
    <r>
      <rPr>
        <b/>
        <sz val="10"/>
        <color theme="4" tint="-0.499984740745262"/>
        <rFont val="Cambria"/>
        <family val="1"/>
        <scheme val="minor"/>
      </rPr>
      <t>ALL AGES 10:00am             @ ACL Academy</t>
    </r>
  </si>
  <si>
    <t>Labor Day No Classes!</t>
  </si>
  <si>
    <t>2ND SATURDAYS RODA!                   9:00am $1 Kids Class/ Bring a Friend 10:00am Labor Day Make up Class @ACL Academy</t>
  </si>
  <si>
    <t>PROMOTION CEREMONY! 10:00am Kids Ceremony Adults 1:00 p.m.</t>
  </si>
  <si>
    <r>
      <t xml:space="preserve">SATURDAY KIDS CLASS! </t>
    </r>
    <r>
      <rPr>
        <b/>
        <sz val="10"/>
        <color theme="4" tint="-0.499984740745262"/>
        <rFont val="Cambria"/>
        <family val="1"/>
        <scheme val="minor"/>
      </rPr>
      <t>ALL AGES 10:00am             @ ACL Academy      Parent's Night Out! 6-9p</t>
    </r>
  </si>
  <si>
    <t>Active Streets Gainesville 11am-3pm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</si>
</sst>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24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40"/>
      <color rgb="FFFFC000"/>
      <name val="Cambria"/>
      <family val="2"/>
      <scheme val="minor"/>
    </font>
    <font>
      <b/>
      <sz val="10"/>
      <color theme="9"/>
      <name val="Cambria"/>
      <family val="1"/>
      <scheme val="minor"/>
    </font>
    <font>
      <b/>
      <sz val="9"/>
      <color theme="4" tint="-0.249977111117893"/>
      <name val="Cambria"/>
      <family val="2"/>
      <scheme val="minor"/>
    </font>
    <font>
      <sz val="11"/>
      <color theme="4" tint="-0.249977111117893"/>
      <name val="Cambria"/>
      <family val="2"/>
      <scheme val="minor"/>
    </font>
    <font>
      <b/>
      <sz val="10"/>
      <color theme="4" tint="-0.499984740745262"/>
      <name val="Cambria"/>
      <family val="1"/>
      <scheme val="minor"/>
    </font>
    <font>
      <b/>
      <u/>
      <sz val="10"/>
      <color theme="4" tint="-0.499984740745262"/>
      <name val="Cambria"/>
      <family val="1"/>
      <scheme val="minor"/>
    </font>
    <font>
      <b/>
      <sz val="11"/>
      <name val="Cambria"/>
      <family val="1"/>
      <scheme val="minor"/>
    </font>
    <font>
      <b/>
      <sz val="10"/>
      <color theme="5" tint="-0.499984740745262"/>
      <name val="Cambria"/>
      <family val="1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42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18" fillId="0" borderId="2" xfId="2" applyFont="1" applyFill="1" applyBorder="1" applyAlignment="1">
      <alignment horizontal="center" vertical="center"/>
    </xf>
    <xf numFmtId="0" fontId="18" fillId="0" borderId="3" xfId="2" applyFont="1" applyFill="1" applyBorder="1" applyAlignment="1">
      <alignment horizontal="center" vertical="center"/>
    </xf>
    <xf numFmtId="0" fontId="18" fillId="0" borderId="4" xfId="2" applyFont="1" applyFill="1" applyBorder="1" applyAlignment="1">
      <alignment horizontal="center" vertical="center"/>
    </xf>
    <xf numFmtId="0" fontId="19" fillId="0" borderId="0" xfId="1" applyFont="1"/>
    <xf numFmtId="0" fontId="20" fillId="5" borderId="10" xfId="1" applyFont="1" applyFill="1" applyBorder="1" applyAlignment="1">
      <alignment horizontal="center" vertical="top" wrapText="1"/>
    </xf>
    <xf numFmtId="0" fontId="20" fillId="4" borderId="10" xfId="3" applyFont="1" applyFill="1" applyBorder="1" applyAlignment="1">
      <alignment horizontal="center" vertical="top" wrapText="1"/>
    </xf>
    <xf numFmtId="0" fontId="20" fillId="0" borderId="10" xfId="3" applyFont="1" applyFill="1" applyBorder="1" applyAlignment="1">
      <alignment horizontal="center" vertical="top" wrapText="1"/>
    </xf>
    <xf numFmtId="0" fontId="17" fillId="0" borderId="10" xfId="1" applyFont="1" applyFill="1" applyBorder="1" applyAlignment="1">
      <alignment horizontal="center" vertical="top" wrapText="1"/>
    </xf>
    <xf numFmtId="0" fontId="20" fillId="0" borderId="10" xfId="1" applyFont="1" applyFill="1" applyBorder="1" applyAlignment="1">
      <alignment horizontal="center" vertical="top" wrapText="1"/>
    </xf>
    <xf numFmtId="0" fontId="23" fillId="6" borderId="10" xfId="3" applyFont="1" applyFill="1" applyBorder="1" applyAlignment="1">
      <alignment horizontal="center" vertical="top" wrapText="1"/>
    </xf>
    <xf numFmtId="0" fontId="21" fillId="4" borderId="10" xfId="3" applyFont="1" applyFill="1" applyBorder="1" applyAlignment="1">
      <alignment horizontal="center" vertical="top" wrapText="1"/>
    </xf>
    <xf numFmtId="165" fontId="16" fillId="0" borderId="0" xfId="1" applyNumberFormat="1" applyFont="1" applyBorder="1" applyAlignment="1">
      <alignment horizontal="left" vertical="center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0" fontId="22" fillId="0" borderId="14" xfId="2" applyFont="1" applyFill="1" applyBorder="1" applyAlignment="1">
      <alignment horizontal="left" vertical="top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F6B30A"/>
      <color rgb="FFF3E80D"/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5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gif"/><Relationship Id="rId9" Type="http://schemas.openxmlformats.org/officeDocument/2006/relationships/image" Target="../media/image1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3.jpg"/><Relationship Id="rId1" Type="http://schemas.openxmlformats.org/officeDocument/2006/relationships/image" Target="../media/image31.jpg"/><Relationship Id="rId4" Type="http://schemas.openxmlformats.org/officeDocument/2006/relationships/image" Target="../media/image32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3.jpg"/><Relationship Id="rId1" Type="http://schemas.openxmlformats.org/officeDocument/2006/relationships/image" Target="../media/image33.jpg"/><Relationship Id="rId4" Type="http://schemas.openxmlformats.org/officeDocument/2006/relationships/image" Target="../media/image34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35.jpg"/><Relationship Id="rId1" Type="http://schemas.openxmlformats.org/officeDocument/2006/relationships/image" Target="../media/image13.jpg"/><Relationship Id="rId4" Type="http://schemas.openxmlformats.org/officeDocument/2006/relationships/image" Target="../media/image36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4" Type="http://schemas.openxmlformats.org/officeDocument/2006/relationships/image" Target="../media/image1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7.jpg"/><Relationship Id="rId1" Type="http://schemas.openxmlformats.org/officeDocument/2006/relationships/image" Target="../media/image13.jpg"/><Relationship Id="rId4" Type="http://schemas.openxmlformats.org/officeDocument/2006/relationships/image" Target="../media/image1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9.jpg"/><Relationship Id="rId1" Type="http://schemas.openxmlformats.org/officeDocument/2006/relationships/image" Target="../media/image13.jpg"/><Relationship Id="rId4" Type="http://schemas.openxmlformats.org/officeDocument/2006/relationships/image" Target="../media/image2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1.jpg"/><Relationship Id="rId1" Type="http://schemas.openxmlformats.org/officeDocument/2006/relationships/image" Target="../media/image13.jpg"/><Relationship Id="rId4" Type="http://schemas.openxmlformats.org/officeDocument/2006/relationships/image" Target="../media/image2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3.jpg"/><Relationship Id="rId1" Type="http://schemas.openxmlformats.org/officeDocument/2006/relationships/image" Target="../media/image13.jpg"/><Relationship Id="rId4" Type="http://schemas.openxmlformats.org/officeDocument/2006/relationships/image" Target="../media/image24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5.jpg"/><Relationship Id="rId1" Type="http://schemas.openxmlformats.org/officeDocument/2006/relationships/image" Target="../media/image13.jpg"/><Relationship Id="rId4" Type="http://schemas.openxmlformats.org/officeDocument/2006/relationships/image" Target="../media/image26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3.jpg"/><Relationship Id="rId1" Type="http://schemas.openxmlformats.org/officeDocument/2006/relationships/image" Target="../media/image27.jpg"/><Relationship Id="rId4" Type="http://schemas.openxmlformats.org/officeDocument/2006/relationships/image" Target="../media/image28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3.jpg"/><Relationship Id="rId1" Type="http://schemas.openxmlformats.org/officeDocument/2006/relationships/image" Target="../media/image29.jpg"/><Relationship Id="rId4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101098</xdr:rowOff>
    </xdr:from>
    <xdr:to>
      <xdr:col>7</xdr:col>
      <xdr:colOff>940007</xdr:colOff>
      <xdr:row>2</xdr:row>
      <xdr:rowOff>708837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6337" y="300458"/>
          <a:ext cx="940007" cy="940007"/>
        </a:xfrm>
        <a:prstGeom prst="rect">
          <a:avLst/>
        </a:prstGeom>
      </xdr:spPr>
    </xdr:pic>
    <xdr:clientData/>
  </xdr:twoCellAnchor>
  <xdr:twoCellAnchor>
    <xdr:from>
      <xdr:col>8</xdr:col>
      <xdr:colOff>54287</xdr:colOff>
      <xdr:row>4</xdr:row>
      <xdr:rowOff>8460</xdr:rowOff>
    </xdr:from>
    <xdr:to>
      <xdr:col>11</xdr:col>
      <xdr:colOff>55377</xdr:colOff>
      <xdr:row>7</xdr:row>
      <xdr:rowOff>542704</xdr:rowOff>
    </xdr:to>
    <xdr:sp macro="" textlink="">
      <xdr:nvSpPr>
        <xdr:cNvPr id="25" name="TextBox 24"/>
        <xdr:cNvSpPr txBox="1"/>
      </xdr:nvSpPr>
      <xdr:spPr>
        <a:xfrm>
          <a:off x="8615711" y="1647646"/>
          <a:ext cx="2448794" cy="1619651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ACL Gainesville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352-219-6106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2020 NW 6th Street Gainesville, FL 32609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mico@capoeiragainesville.com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www.capoeiragainesville.com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</xdr:row>
          <xdr:rowOff>47625</xdr:rowOff>
        </xdr:from>
        <xdr:to>
          <xdr:col>12</xdr:col>
          <xdr:colOff>142875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7</xdr:col>
      <xdr:colOff>98261</xdr:colOff>
      <xdr:row>19</xdr:row>
      <xdr:rowOff>72620</xdr:rowOff>
    </xdr:from>
    <xdr:ext cx="909615" cy="90961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598" y="7316050"/>
          <a:ext cx="909615" cy="909615"/>
        </a:xfrm>
        <a:prstGeom prst="rect">
          <a:avLst/>
        </a:prstGeom>
      </xdr:spPr>
    </xdr:pic>
    <xdr:clientData/>
  </xdr:oneCellAnchor>
  <xdr:twoCellAnchor editAs="oneCell">
    <xdr:from>
      <xdr:col>7</xdr:col>
      <xdr:colOff>98261</xdr:colOff>
      <xdr:row>19</xdr:row>
      <xdr:rowOff>72620</xdr:rowOff>
    </xdr:from>
    <xdr:to>
      <xdr:col>7</xdr:col>
      <xdr:colOff>1038268</xdr:colOff>
      <xdr:row>21</xdr:row>
      <xdr:rowOff>569604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598" y="7316050"/>
          <a:ext cx="940007" cy="94000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121830</xdr:rowOff>
    </xdr:from>
    <xdr:to>
      <xdr:col>7</xdr:col>
      <xdr:colOff>940007</xdr:colOff>
      <xdr:row>38</xdr:row>
      <xdr:rowOff>530209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6337" y="13944156"/>
          <a:ext cx="940007" cy="940007"/>
        </a:xfrm>
        <a:prstGeom prst="rect">
          <a:avLst/>
        </a:prstGeom>
      </xdr:spPr>
    </xdr:pic>
    <xdr:clientData/>
  </xdr:twoCellAnchor>
  <xdr:twoCellAnchor editAs="oneCell">
    <xdr:from>
      <xdr:col>7</xdr:col>
      <xdr:colOff>11075</xdr:colOff>
      <xdr:row>53</xdr:row>
      <xdr:rowOff>66454</xdr:rowOff>
    </xdr:from>
    <xdr:to>
      <xdr:col>7</xdr:col>
      <xdr:colOff>951082</xdr:colOff>
      <xdr:row>56</xdr:row>
      <xdr:rowOff>474833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7412" y="20722413"/>
          <a:ext cx="940007" cy="940007"/>
        </a:xfrm>
        <a:prstGeom prst="rect">
          <a:avLst/>
        </a:prstGeom>
      </xdr:spPr>
    </xdr:pic>
    <xdr:clientData/>
  </xdr:twoCellAnchor>
  <xdr:twoCellAnchor editAs="oneCell">
    <xdr:from>
      <xdr:col>6</xdr:col>
      <xdr:colOff>1174011</xdr:colOff>
      <xdr:row>70</xdr:row>
      <xdr:rowOff>132907</xdr:rowOff>
    </xdr:from>
    <xdr:to>
      <xdr:col>7</xdr:col>
      <xdr:colOff>840326</xdr:colOff>
      <xdr:row>73</xdr:row>
      <xdr:rowOff>541286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5261" y="27445291"/>
          <a:ext cx="940007" cy="940007"/>
        </a:xfrm>
        <a:prstGeom prst="rect">
          <a:avLst/>
        </a:prstGeom>
      </xdr:spPr>
    </xdr:pic>
    <xdr:clientData/>
  </xdr:twoCellAnchor>
  <xdr:twoCellAnchor>
    <xdr:from>
      <xdr:col>8</xdr:col>
      <xdr:colOff>66453</xdr:colOff>
      <xdr:row>39</xdr:row>
      <xdr:rowOff>22151</xdr:rowOff>
    </xdr:from>
    <xdr:to>
      <xdr:col>10</xdr:col>
      <xdr:colOff>88604</xdr:colOff>
      <xdr:row>41</xdr:row>
      <xdr:rowOff>686688</xdr:rowOff>
    </xdr:to>
    <xdr:sp macro="" textlink="">
      <xdr:nvSpPr>
        <xdr:cNvPr id="2" name="TextBox 1"/>
        <xdr:cNvSpPr txBox="1"/>
      </xdr:nvSpPr>
      <xdr:spPr>
        <a:xfrm>
          <a:off x="9303488" y="16347558"/>
          <a:ext cx="2292645" cy="12183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n-US" sz="12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ACL Gainesville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352-219-6106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2020 NW 6th Street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Gainesville, FL 32609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mico@capoeiragainesville.com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www.capoeiragainesville.com</a:t>
          </a:r>
          <a:endParaRPr lang="en-US" sz="1200"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22152</xdr:colOff>
      <xdr:row>58</xdr:row>
      <xdr:rowOff>0</xdr:rowOff>
    </xdr:from>
    <xdr:to>
      <xdr:col>9</xdr:col>
      <xdr:colOff>1063255</xdr:colOff>
      <xdr:row>61</xdr:row>
      <xdr:rowOff>287965</xdr:rowOff>
    </xdr:to>
    <xdr:sp macro="" textlink="">
      <xdr:nvSpPr>
        <xdr:cNvPr id="3" name="TextBox 2"/>
        <xdr:cNvSpPr txBox="1"/>
      </xdr:nvSpPr>
      <xdr:spPr>
        <a:xfrm>
          <a:off x="8805088" y="23003983"/>
          <a:ext cx="2226190" cy="13512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n-US" sz="16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ACL Gainesville</a:t>
          </a:r>
          <a:endParaRPr lang="en-US" sz="1600">
            <a:effectLst/>
          </a:endParaRPr>
        </a:p>
        <a:p>
          <a:pPr algn="ctr" eaLnBrk="1" fontAlgn="auto" latinLnBrk="0" hangingPunct="1"/>
          <a:r>
            <a:rPr lang="en-US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352-219-6106</a:t>
          </a:r>
        </a:p>
        <a:p>
          <a:pPr algn="ctr" eaLnBrk="1" fontAlgn="auto" latinLnBrk="0" hangingPunct="1"/>
          <a:r>
            <a:rPr lang="en-US" sz="1400">
              <a:effectLst/>
            </a:rPr>
            <a:t>2020 NW 6th Street Gainesville, FL 32609</a:t>
          </a: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mico@capoeiragainesville.com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www.capoeiragainesville.com</a:t>
          </a:r>
          <a:endParaRPr lang="en-US" sz="1200">
            <a:effectLst/>
          </a:endParaRPr>
        </a:p>
        <a:p>
          <a:pPr algn="ctr"/>
          <a:endParaRPr lang="en-US" sz="1100"/>
        </a:p>
      </xdr:txBody>
    </xdr:sp>
    <xdr:clientData/>
  </xdr:twoCellAnchor>
  <xdr:twoCellAnchor>
    <xdr:from>
      <xdr:col>8</xdr:col>
      <xdr:colOff>77529</xdr:colOff>
      <xdr:row>75</xdr:row>
      <xdr:rowOff>6867</xdr:rowOff>
    </xdr:from>
    <xdr:to>
      <xdr:col>10</xdr:col>
      <xdr:colOff>22151</xdr:colOff>
      <xdr:row>78</xdr:row>
      <xdr:rowOff>299041</xdr:rowOff>
    </xdr:to>
    <xdr:sp macro="" textlink="">
      <xdr:nvSpPr>
        <xdr:cNvPr id="4" name="TextBox 3"/>
        <xdr:cNvSpPr txBox="1"/>
      </xdr:nvSpPr>
      <xdr:spPr>
        <a:xfrm>
          <a:off x="8860465" y="29866634"/>
          <a:ext cx="2215116" cy="13554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n-US" sz="16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ACL Gainesville</a:t>
          </a:r>
          <a:endParaRPr lang="en-US" sz="1600">
            <a:effectLst/>
          </a:endParaRPr>
        </a:p>
        <a:p>
          <a:pPr algn="ctr" eaLnBrk="1" fontAlgn="auto" latinLnBrk="0" hangingPunct="1"/>
          <a:r>
            <a:rPr lang="en-US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352-219-6106</a:t>
          </a:r>
        </a:p>
        <a:p>
          <a:pPr algn="ctr" eaLnBrk="1" fontAlgn="auto" latinLnBrk="0" hangingPunct="1"/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2020 NW 6th Street </a:t>
          </a:r>
        </a:p>
        <a:p>
          <a:pPr algn="ctr" eaLnBrk="1" fontAlgn="auto" latinLnBrk="0" hangingPunct="1"/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Gainesville, FL 32609</a:t>
          </a:r>
          <a:endParaRPr lang="en-US" sz="14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mico@capoeiragainesville.com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www.capoeiragainesville.com</a:t>
          </a:r>
          <a:endParaRPr lang="en-US" sz="1200">
            <a:effectLst/>
          </a:endParaRPr>
        </a:p>
        <a:p>
          <a:endParaRPr lang="en-US" sz="1100"/>
        </a:p>
      </xdr:txBody>
    </xdr:sp>
    <xdr:clientData/>
  </xdr:twoCellAnchor>
  <xdr:twoCellAnchor>
    <xdr:from>
      <xdr:col>8</xdr:col>
      <xdr:colOff>22152</xdr:colOff>
      <xdr:row>22</xdr:row>
      <xdr:rowOff>155058</xdr:rowOff>
    </xdr:from>
    <xdr:to>
      <xdr:col>10</xdr:col>
      <xdr:colOff>33226</xdr:colOff>
      <xdr:row>26</xdr:row>
      <xdr:rowOff>299041</xdr:rowOff>
    </xdr:to>
    <xdr:sp macro="" textlink="">
      <xdr:nvSpPr>
        <xdr:cNvPr id="5" name="TextBox 4"/>
        <xdr:cNvSpPr txBox="1"/>
      </xdr:nvSpPr>
      <xdr:spPr>
        <a:xfrm>
          <a:off x="8583576" y="8472820"/>
          <a:ext cx="2281569" cy="13955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n-US" sz="16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ACL Gainesville</a:t>
          </a:r>
          <a:endParaRPr lang="en-US" sz="1600">
            <a:effectLst/>
          </a:endParaRPr>
        </a:p>
        <a:p>
          <a:pPr algn="ctr" eaLnBrk="1" fontAlgn="auto" latinLnBrk="0" hangingPunct="1"/>
          <a:r>
            <a:rPr lang="en-US" sz="16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352-219-6106</a:t>
          </a:r>
          <a:endParaRPr lang="en-US" sz="1600">
            <a:effectLst/>
          </a:endParaRPr>
        </a:p>
        <a:p>
          <a:pPr algn="ctr" eaLnBrk="1" fontAlgn="auto" latinLnBrk="0" hangingPunct="1"/>
          <a:r>
            <a:rPr lang="en-US" sz="14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2020 NW 6th Street Gainesville, FL 32609</a:t>
          </a:r>
          <a:endParaRPr lang="en-US" sz="14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mico@capoeiragainesville.com</a:t>
          </a:r>
          <a:endParaRPr lang="en-US" sz="1200">
            <a:effectLst/>
          </a:endParaRPr>
        </a:p>
        <a:p>
          <a:pPr algn="ctr" eaLnBrk="1" fontAlgn="auto" latinLnBrk="0" hangingPunct="1"/>
          <a:r>
            <a:rPr lang="en-US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www.capoeiragainesville.com</a:t>
          </a:r>
          <a:endParaRPr lang="en-US" sz="1200">
            <a:effectLst/>
          </a:endParaRPr>
        </a:p>
        <a:p>
          <a:endParaRPr lang="en-US" sz="1100"/>
        </a:p>
      </xdr:txBody>
    </xdr:sp>
    <xdr:clientData/>
  </xdr:twoCellAnchor>
  <xdr:twoCellAnchor editAs="oneCell">
    <xdr:from>
      <xdr:col>7</xdr:col>
      <xdr:colOff>256335</xdr:colOff>
      <xdr:row>49</xdr:row>
      <xdr:rowOff>160972</xdr:rowOff>
    </xdr:from>
    <xdr:to>
      <xdr:col>7</xdr:col>
      <xdr:colOff>1336077</xdr:colOff>
      <xdr:row>50</xdr:row>
      <xdr:rowOff>0</xdr:rowOff>
    </xdr:to>
    <xdr:pic>
      <xdr:nvPicPr>
        <xdr:cNvPr id="16" name="Picture 15" descr="C:\Users\Joshua\AppData\Local\Microsoft\Windows\Temporary Internet Files\Content.IE5\1UMRMWX7\funny-pumpkin-face[1]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1393" y="20185623"/>
          <a:ext cx="1079742" cy="71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1007877</xdr:colOff>
      <xdr:row>82</xdr:row>
      <xdr:rowOff>44304</xdr:rowOff>
    </xdr:from>
    <xdr:to>
      <xdr:col>7</xdr:col>
      <xdr:colOff>33226</xdr:colOff>
      <xdr:row>82</xdr:row>
      <xdr:rowOff>454616</xdr:rowOff>
    </xdr:to>
    <xdr:pic>
      <xdr:nvPicPr>
        <xdr:cNvPr id="17" name="Picture 16" descr="C:\Users\Joshua\AppData\Local\Microsoft\Windows\Temporary Internet Files\Content.IE5\QDCEPMLT\christmas_tree_mlp_by_sakatagintoki117-d6tipun[1]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9243" y="33337502"/>
          <a:ext cx="299041" cy="410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22150</xdr:colOff>
      <xdr:row>78</xdr:row>
      <xdr:rowOff>471542</xdr:rowOff>
    </xdr:from>
    <xdr:to>
      <xdr:col>1</xdr:col>
      <xdr:colOff>243663</xdr:colOff>
      <xdr:row>79</xdr:row>
      <xdr:rowOff>16062</xdr:rowOff>
    </xdr:to>
    <xdr:pic>
      <xdr:nvPicPr>
        <xdr:cNvPr id="18" name="Picture 17" descr="C:\Users\Joshua\AppData\Local\Microsoft\Windows\Temporary Internet Files\Content.IE5\1UMRMWX7\hanukah[1]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964" y="31992647"/>
          <a:ext cx="221513" cy="253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996803</xdr:colOff>
      <xdr:row>79</xdr:row>
      <xdr:rowOff>33226</xdr:rowOff>
    </xdr:from>
    <xdr:to>
      <xdr:col>2</xdr:col>
      <xdr:colOff>1162937</xdr:colOff>
      <xdr:row>80</xdr:row>
      <xdr:rowOff>46034</xdr:rowOff>
    </xdr:to>
    <xdr:pic>
      <xdr:nvPicPr>
        <xdr:cNvPr id="19" name="Picture 18" descr="C:\Users\Joshua\AppData\Local\Microsoft\Windows\Temporary Internet Files\Content.IE5\1UMRMWX7\hanukah[1]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704" y="31631860"/>
          <a:ext cx="166134" cy="190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44302</xdr:colOff>
      <xdr:row>82</xdr:row>
      <xdr:rowOff>465174</xdr:rowOff>
    </xdr:from>
    <xdr:to>
      <xdr:col>7</xdr:col>
      <xdr:colOff>1317994</xdr:colOff>
      <xdr:row>83</xdr:row>
      <xdr:rowOff>22150</xdr:rowOff>
    </xdr:to>
    <xdr:sp macro="" textlink="">
      <xdr:nvSpPr>
        <xdr:cNvPr id="6" name="TextBox 5"/>
        <xdr:cNvSpPr txBox="1"/>
      </xdr:nvSpPr>
      <xdr:spPr>
        <a:xfrm>
          <a:off x="310116" y="33503633"/>
          <a:ext cx="8384215" cy="265814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NO</a:t>
          </a:r>
          <a:r>
            <a:rPr lang="en-US" sz="1100" baseline="0"/>
            <a:t> CLASSES THIS WEEK</a:t>
          </a:r>
          <a:endParaRPr lang="en-US" sz="1100"/>
        </a:p>
      </xdr:txBody>
    </xdr:sp>
    <xdr:clientData/>
  </xdr:twoCellAnchor>
  <xdr:twoCellAnchor>
    <xdr:from>
      <xdr:col>1</xdr:col>
      <xdr:colOff>0</xdr:colOff>
      <xdr:row>84</xdr:row>
      <xdr:rowOff>143981</xdr:rowOff>
    </xdr:from>
    <xdr:to>
      <xdr:col>7</xdr:col>
      <xdr:colOff>1329070</xdr:colOff>
      <xdr:row>84</xdr:row>
      <xdr:rowOff>387644</xdr:rowOff>
    </xdr:to>
    <xdr:sp macro="" textlink="">
      <xdr:nvSpPr>
        <xdr:cNvPr id="21" name="TextBox 20"/>
        <xdr:cNvSpPr txBox="1"/>
      </xdr:nvSpPr>
      <xdr:spPr>
        <a:xfrm>
          <a:off x="265814" y="34068487"/>
          <a:ext cx="8439593" cy="243663"/>
        </a:xfrm>
        <a:prstGeom prst="rect">
          <a:avLst/>
        </a:prstGeom>
        <a:solidFill>
          <a:srgbClr val="92D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NO</a:t>
          </a:r>
          <a:r>
            <a:rPr lang="en-US" sz="1100" baseline="0"/>
            <a:t> CLASSES THIS WEEK</a:t>
          </a:r>
          <a:endParaRPr lang="en-US" sz="1100"/>
        </a:p>
      </xdr:txBody>
    </xdr:sp>
    <xdr:clientData/>
  </xdr:twoCellAnchor>
  <xdr:twoCellAnchor>
    <xdr:from>
      <xdr:col>1</xdr:col>
      <xdr:colOff>0</xdr:colOff>
      <xdr:row>65</xdr:row>
      <xdr:rowOff>498401</xdr:rowOff>
    </xdr:from>
    <xdr:to>
      <xdr:col>7</xdr:col>
      <xdr:colOff>1351222</xdr:colOff>
      <xdr:row>65</xdr:row>
      <xdr:rowOff>697762</xdr:rowOff>
    </xdr:to>
    <xdr:sp macro="" textlink="">
      <xdr:nvSpPr>
        <xdr:cNvPr id="7" name="TextBox 6"/>
        <xdr:cNvSpPr txBox="1"/>
      </xdr:nvSpPr>
      <xdr:spPr>
        <a:xfrm>
          <a:off x="265814" y="26348808"/>
          <a:ext cx="8461745" cy="199361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NO CLASSES</a:t>
          </a:r>
          <a:r>
            <a:rPr lang="en-US" sz="1100" b="1" baseline="0"/>
            <a:t> THIS WEEK</a:t>
          </a:r>
          <a:endParaRPr lang="en-US" sz="1100" b="1"/>
        </a:p>
      </xdr:txBody>
    </xdr:sp>
    <xdr:clientData/>
  </xdr:twoCellAnchor>
  <xdr:twoCellAnchor editAs="oneCell">
    <xdr:from>
      <xdr:col>5</xdr:col>
      <xdr:colOff>620232</xdr:colOff>
      <xdr:row>65</xdr:row>
      <xdr:rowOff>199362</xdr:rowOff>
    </xdr:from>
    <xdr:to>
      <xdr:col>5</xdr:col>
      <xdr:colOff>1140785</xdr:colOff>
      <xdr:row>65</xdr:row>
      <xdr:rowOff>695945</xdr:rowOff>
    </xdr:to>
    <xdr:pic>
      <xdr:nvPicPr>
        <xdr:cNvPr id="23" name="Picture 22" descr="C:\Users\Joshua\AppData\Local\Microsoft\Windows\Temporary Internet Files\Content.IE5\QDCEPMLT\PU_DBS_DigiScraps_Turkey[1]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6395" y="26049769"/>
          <a:ext cx="520553" cy="496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254739</xdr:colOff>
      <xdr:row>26</xdr:row>
      <xdr:rowOff>874969</xdr:rowOff>
    </xdr:from>
    <xdr:to>
      <xdr:col>8</xdr:col>
      <xdr:colOff>1</xdr:colOff>
      <xdr:row>26</xdr:row>
      <xdr:rowOff>1063254</xdr:rowOff>
    </xdr:to>
    <xdr:sp macro="" textlink="">
      <xdr:nvSpPr>
        <xdr:cNvPr id="14" name="TextBox 13"/>
        <xdr:cNvSpPr txBox="1"/>
      </xdr:nvSpPr>
      <xdr:spPr>
        <a:xfrm>
          <a:off x="254739" y="10854068"/>
          <a:ext cx="8705407" cy="188285"/>
        </a:xfrm>
        <a:prstGeom prst="rect">
          <a:avLst/>
        </a:prstGeom>
        <a:solidFill>
          <a:schemeClr val="bg2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BRING A FRIEND</a:t>
          </a:r>
          <a:r>
            <a:rPr lang="en-US" sz="1100" b="1" baseline="0"/>
            <a:t> WEEK!</a:t>
          </a:r>
          <a:endParaRPr lang="en-US" sz="1100" b="1"/>
        </a:p>
      </xdr:txBody>
    </xdr:sp>
    <xdr:clientData/>
  </xdr:twoCellAnchor>
  <xdr:twoCellAnchor editAs="oneCell">
    <xdr:from>
      <xdr:col>0</xdr:col>
      <xdr:colOff>259042</xdr:colOff>
      <xdr:row>26</xdr:row>
      <xdr:rowOff>254739</xdr:rowOff>
    </xdr:from>
    <xdr:to>
      <xdr:col>1</xdr:col>
      <xdr:colOff>681035</xdr:colOff>
      <xdr:row>26</xdr:row>
      <xdr:rowOff>830669</xdr:rowOff>
    </xdr:to>
    <xdr:pic>
      <xdr:nvPicPr>
        <xdr:cNvPr id="29" name="Picture 28" descr="C:\Users\Joshua\AppData\Local\Microsoft\Windows\Temporary Internet Files\Content.IE5\1UMRMWX7\ist2_9778925-happy-kids-friend-group-holding-hands-cartoon-illustration[1]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42" y="10510727"/>
          <a:ext cx="687807" cy="575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22151</xdr:colOff>
      <xdr:row>63</xdr:row>
      <xdr:rowOff>719912</xdr:rowOff>
    </xdr:from>
    <xdr:to>
      <xdr:col>8</xdr:col>
      <xdr:colOff>0</xdr:colOff>
      <xdr:row>63</xdr:row>
      <xdr:rowOff>963575</xdr:rowOff>
    </xdr:to>
    <xdr:sp macro="" textlink="">
      <xdr:nvSpPr>
        <xdr:cNvPr id="15" name="TextBox 14"/>
        <xdr:cNvSpPr txBox="1"/>
      </xdr:nvSpPr>
      <xdr:spPr>
        <a:xfrm>
          <a:off x="287965" y="25894709"/>
          <a:ext cx="8450669" cy="24366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/>
            <a:t>IN-CLASS</a:t>
          </a:r>
          <a:r>
            <a:rPr lang="en-US" sz="1100" b="1" baseline="0"/>
            <a:t> PROMOTIONS!</a:t>
          </a:r>
          <a:endParaRPr lang="en-US" sz="1100" b="1"/>
        </a:p>
      </xdr:txBody>
    </xdr:sp>
    <xdr:clientData/>
  </xdr:twoCellAnchor>
  <xdr:twoCellAnchor editAs="oneCell">
    <xdr:from>
      <xdr:col>7</xdr:col>
      <xdr:colOff>22151</xdr:colOff>
      <xdr:row>9</xdr:row>
      <xdr:rowOff>487325</xdr:rowOff>
    </xdr:from>
    <xdr:to>
      <xdr:col>7</xdr:col>
      <xdr:colOff>233968</xdr:colOff>
      <xdr:row>9</xdr:row>
      <xdr:rowOff>759998</xdr:rowOff>
    </xdr:to>
    <xdr:pic>
      <xdr:nvPicPr>
        <xdr:cNvPr id="31" name="Picture 30" descr="C:\Users\Joshua\AppData\Local\Microsoft\Windows\Temporary Internet Files\Content.IE5\2KZF81UW\balloons[1]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110" y="4142267"/>
          <a:ext cx="211817" cy="272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1138127</xdr:colOff>
      <xdr:row>9</xdr:row>
      <xdr:rowOff>484667</xdr:rowOff>
    </xdr:from>
    <xdr:to>
      <xdr:col>7</xdr:col>
      <xdr:colOff>1349944</xdr:colOff>
      <xdr:row>9</xdr:row>
      <xdr:rowOff>757340</xdr:rowOff>
    </xdr:to>
    <xdr:pic>
      <xdr:nvPicPr>
        <xdr:cNvPr id="32" name="Picture 31" descr="C:\Users\Joshua\AppData\Local\Microsoft\Windows\Temporary Internet Files\Content.IE5\2KZF81UW\balloons[1]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9086" y="4139609"/>
          <a:ext cx="211817" cy="272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1201922</xdr:colOff>
      <xdr:row>8</xdr:row>
      <xdr:rowOff>5759</xdr:rowOff>
    </xdr:from>
    <xdr:to>
      <xdr:col>7</xdr:col>
      <xdr:colOff>1413739</xdr:colOff>
      <xdr:row>9</xdr:row>
      <xdr:rowOff>90147</xdr:rowOff>
    </xdr:to>
    <xdr:pic>
      <xdr:nvPicPr>
        <xdr:cNvPr id="33" name="Picture 32" descr="C:\Users\Joshua\AppData\Local\Microsoft\Windows\Temporary Internet Files\Content.IE5\2KZF81UW\balloons[1]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2881" y="3472416"/>
          <a:ext cx="211817" cy="272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490803</xdr:colOff>
      <xdr:row>5</xdr:row>
      <xdr:rowOff>387645</xdr:rowOff>
    </xdr:from>
    <xdr:to>
      <xdr:col>7</xdr:col>
      <xdr:colOff>852820</xdr:colOff>
      <xdr:row>5</xdr:row>
      <xdr:rowOff>749469</xdr:rowOff>
    </xdr:to>
    <xdr:pic>
      <xdr:nvPicPr>
        <xdr:cNvPr id="34" name="Picture 33" descr="C:\Users\Joshua\AppData\Local\Microsoft\Windows\Temporary Internet Files\Content.IE5\1UMRMWX7\happy-face-770659[1]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1762" y="2215116"/>
          <a:ext cx="362017" cy="361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265814</xdr:colOff>
      <xdr:row>10</xdr:row>
      <xdr:rowOff>33226</xdr:rowOff>
    </xdr:from>
    <xdr:to>
      <xdr:col>5</xdr:col>
      <xdr:colOff>465174</xdr:colOff>
      <xdr:row>11</xdr:row>
      <xdr:rowOff>37528</xdr:rowOff>
    </xdr:to>
    <xdr:pic>
      <xdr:nvPicPr>
        <xdr:cNvPr id="35" name="Picture 34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6599" y="4529912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739407</xdr:colOff>
      <xdr:row>10</xdr:row>
      <xdr:rowOff>41645</xdr:rowOff>
    </xdr:from>
    <xdr:to>
      <xdr:col>5</xdr:col>
      <xdr:colOff>938767</xdr:colOff>
      <xdr:row>11</xdr:row>
      <xdr:rowOff>45947</xdr:rowOff>
    </xdr:to>
    <xdr:pic>
      <xdr:nvPicPr>
        <xdr:cNvPr id="36" name="Picture 35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192" y="4538331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1179772</xdr:colOff>
      <xdr:row>10</xdr:row>
      <xdr:rowOff>27910</xdr:rowOff>
    </xdr:from>
    <xdr:to>
      <xdr:col>5</xdr:col>
      <xdr:colOff>1379132</xdr:colOff>
      <xdr:row>11</xdr:row>
      <xdr:rowOff>32212</xdr:rowOff>
    </xdr:to>
    <xdr:pic>
      <xdr:nvPicPr>
        <xdr:cNvPr id="37" name="Picture 36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0557" y="4524596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110756</xdr:colOff>
      <xdr:row>41</xdr:row>
      <xdr:rowOff>365494</xdr:rowOff>
    </xdr:from>
    <xdr:to>
      <xdr:col>7</xdr:col>
      <xdr:colOff>409797</xdr:colOff>
      <xdr:row>41</xdr:row>
      <xdr:rowOff>651853</xdr:rowOff>
    </xdr:to>
    <xdr:pic>
      <xdr:nvPicPr>
        <xdr:cNvPr id="38" name="Picture 37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814" y="16801657"/>
          <a:ext cx="299041" cy="286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1104900</xdr:colOff>
      <xdr:row>41</xdr:row>
      <xdr:rowOff>384987</xdr:rowOff>
    </xdr:from>
    <xdr:to>
      <xdr:col>7</xdr:col>
      <xdr:colOff>1403941</xdr:colOff>
      <xdr:row>41</xdr:row>
      <xdr:rowOff>671346</xdr:rowOff>
    </xdr:to>
    <xdr:pic>
      <xdr:nvPicPr>
        <xdr:cNvPr id="39" name="Picture 38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9958" y="16821150"/>
          <a:ext cx="299041" cy="286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1426090</xdr:colOff>
      <xdr:row>82</xdr:row>
      <xdr:rowOff>52720</xdr:rowOff>
    </xdr:from>
    <xdr:to>
      <xdr:col>6</xdr:col>
      <xdr:colOff>263154</xdr:colOff>
      <xdr:row>82</xdr:row>
      <xdr:rowOff>463032</xdr:rowOff>
    </xdr:to>
    <xdr:pic>
      <xdr:nvPicPr>
        <xdr:cNvPr id="40" name="Picture 39" descr="C:\Users\Joshua\AppData\Local\Microsoft\Windows\Temporary Internet Files\Content.IE5\QDCEPMLT\christmas_tree_mlp_by_sakatagintoki117-d6tipun[1]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5480" y="33345918"/>
          <a:ext cx="299041" cy="410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121831</xdr:colOff>
      <xdr:row>8</xdr:row>
      <xdr:rowOff>77529</xdr:rowOff>
    </xdr:from>
    <xdr:to>
      <xdr:col>11</xdr:col>
      <xdr:colOff>11076</xdr:colOff>
      <xdr:row>14</xdr:row>
      <xdr:rowOff>44301</xdr:rowOff>
    </xdr:to>
    <xdr:sp macro="" textlink="">
      <xdr:nvSpPr>
        <xdr:cNvPr id="20" name="TextBox 19"/>
        <xdr:cNvSpPr txBox="1"/>
      </xdr:nvSpPr>
      <xdr:spPr>
        <a:xfrm>
          <a:off x="9358866" y="3599564"/>
          <a:ext cx="2336948" cy="30568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/>
            <a:t>Highlights This Month</a:t>
          </a:r>
        </a:p>
        <a:p>
          <a:pPr algn="l"/>
          <a:endParaRPr lang="en-US" sz="1400" b="1"/>
        </a:p>
        <a:p>
          <a:pPr algn="ctr"/>
          <a:r>
            <a:rPr lang="en-US" sz="1400" b="1" u="sng"/>
            <a:t>August</a:t>
          </a:r>
          <a:r>
            <a:rPr lang="en-US" sz="1400" b="1" u="sng" baseline="0"/>
            <a:t> 1</a:t>
          </a:r>
          <a:r>
            <a:rPr lang="en-US" sz="1400" b="1" baseline="0"/>
            <a:t> </a:t>
          </a:r>
        </a:p>
        <a:p>
          <a:pPr algn="ctr"/>
          <a:r>
            <a:rPr lang="en-US" sz="1400" b="0" baseline="0"/>
            <a:t>Parent Apprciation </a:t>
          </a:r>
        </a:p>
        <a:p>
          <a:pPr algn="ctr"/>
          <a:r>
            <a:rPr lang="en-US" sz="1400" b="0" baseline="0"/>
            <a:t>6-9 pm</a:t>
          </a:r>
        </a:p>
        <a:p>
          <a:pPr algn="ctr"/>
          <a:endParaRPr lang="en-US" sz="1400" b="0" baseline="0"/>
        </a:p>
        <a:p>
          <a:pPr algn="ctr"/>
          <a:r>
            <a:rPr lang="en-US" sz="1400" b="1" u="sng" baseline="0"/>
            <a:t>August 15th </a:t>
          </a:r>
        </a:p>
        <a:p>
          <a:pPr algn="ctr"/>
          <a:r>
            <a:rPr lang="en-US" sz="1400" b="0" baseline="0"/>
            <a:t>Open House @ </a:t>
          </a:r>
        </a:p>
        <a:p>
          <a:pPr algn="ctr"/>
          <a:r>
            <a:rPr lang="en-US" sz="1400" b="0" baseline="0"/>
            <a:t>Broadmoor Clubhouse </a:t>
          </a:r>
        </a:p>
        <a:p>
          <a:pPr algn="ctr"/>
          <a:r>
            <a:rPr lang="en-US" sz="1400" b="0" baseline="0"/>
            <a:t>9am-12pm</a:t>
          </a:r>
        </a:p>
        <a:p>
          <a:pPr algn="ctr"/>
          <a:endParaRPr lang="en-US" sz="1400" b="0" baseline="0"/>
        </a:p>
        <a:p>
          <a:pPr algn="ctr"/>
          <a:r>
            <a:rPr lang="en-US" sz="1400" b="1" u="sng" baseline="0"/>
            <a:t>August 20th </a:t>
          </a:r>
        </a:p>
        <a:p>
          <a:pPr algn="ctr"/>
          <a:r>
            <a:rPr lang="en-US" sz="1400" b="1" baseline="0"/>
            <a:t> </a:t>
          </a:r>
          <a:r>
            <a:rPr lang="en-US" sz="1400" b="0" baseline="0"/>
            <a:t>Thursday Classes begin at Broadmoor</a:t>
          </a:r>
          <a:endParaRPr lang="en-US" sz="1400" b="0"/>
        </a:p>
      </xdr:txBody>
    </xdr:sp>
    <xdr:clientData/>
  </xdr:twoCellAnchor>
  <xdr:twoCellAnchor editAs="oneCell">
    <xdr:from>
      <xdr:col>8</xdr:col>
      <xdr:colOff>132907</xdr:colOff>
      <xdr:row>8</xdr:row>
      <xdr:rowOff>99680</xdr:rowOff>
    </xdr:from>
    <xdr:to>
      <xdr:col>8</xdr:col>
      <xdr:colOff>332267</xdr:colOff>
      <xdr:row>9</xdr:row>
      <xdr:rowOff>103982</xdr:rowOff>
    </xdr:to>
    <xdr:pic>
      <xdr:nvPicPr>
        <xdr:cNvPr id="41" name="Picture 40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9942" y="3621715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1060599</xdr:colOff>
      <xdr:row>8</xdr:row>
      <xdr:rowOff>108097</xdr:rowOff>
    </xdr:from>
    <xdr:to>
      <xdr:col>10</xdr:col>
      <xdr:colOff>174552</xdr:colOff>
      <xdr:row>9</xdr:row>
      <xdr:rowOff>112399</xdr:rowOff>
    </xdr:to>
    <xdr:pic>
      <xdr:nvPicPr>
        <xdr:cNvPr id="42" name="Picture 41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2721" y="3630132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44302</xdr:colOff>
      <xdr:row>26</xdr:row>
      <xdr:rowOff>443024</xdr:rowOff>
    </xdr:from>
    <xdr:to>
      <xdr:col>10</xdr:col>
      <xdr:colOff>44302</xdr:colOff>
      <xdr:row>33</xdr:row>
      <xdr:rowOff>77529</xdr:rowOff>
    </xdr:to>
    <xdr:sp macro="" textlink="">
      <xdr:nvSpPr>
        <xdr:cNvPr id="22" name="TextBox 21"/>
        <xdr:cNvSpPr txBox="1"/>
      </xdr:nvSpPr>
      <xdr:spPr>
        <a:xfrm>
          <a:off x="9281337" y="10699012"/>
          <a:ext cx="2270494" cy="33669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/>
            <a:t>Highlights</a:t>
          </a:r>
          <a:r>
            <a:rPr lang="en-US" sz="1400" b="1" baseline="0"/>
            <a:t> This Month</a:t>
          </a:r>
        </a:p>
        <a:p>
          <a:pPr algn="ctr"/>
          <a:endParaRPr lang="en-US" sz="1400" b="1" baseline="0"/>
        </a:p>
        <a:p>
          <a:pPr algn="ctr"/>
          <a:r>
            <a:rPr lang="en-US" sz="1400" b="1" u="sng" baseline="0"/>
            <a:t>September 4th</a:t>
          </a:r>
        </a:p>
        <a:p>
          <a:pPr algn="ctr"/>
          <a:r>
            <a:rPr lang="en-US" sz="1400" b="0" u="none" baseline="0"/>
            <a:t>1st Fridays Roda!</a:t>
          </a:r>
        </a:p>
        <a:p>
          <a:pPr algn="ctr"/>
          <a:r>
            <a:rPr lang="en-US" sz="1400" b="0" u="none" baseline="0"/>
            <a:t>6:00pm Music Class</a:t>
          </a:r>
        </a:p>
        <a:p>
          <a:pPr algn="ctr"/>
          <a:r>
            <a:rPr lang="en-US" sz="1400" b="0" u="none" baseline="0"/>
            <a:t>6:30pm Adult Roda</a:t>
          </a:r>
        </a:p>
        <a:p>
          <a:pPr algn="ctr"/>
          <a:endParaRPr lang="en-US" sz="1400" b="0" u="none" baseline="0"/>
        </a:p>
        <a:p>
          <a:pPr algn="ctr"/>
          <a:r>
            <a:rPr lang="en-US" sz="1400" b="1" u="sng"/>
            <a:t>September 7-12th</a:t>
          </a:r>
        </a:p>
        <a:p>
          <a:pPr algn="ctr"/>
          <a:r>
            <a:rPr lang="en-US" sz="1400" b="0" u="none" baseline="0"/>
            <a:t>Bring a Friend Week!</a:t>
          </a:r>
        </a:p>
        <a:p>
          <a:pPr algn="ctr"/>
          <a:endParaRPr lang="en-US" sz="1400" b="0" u="none"/>
        </a:p>
        <a:p>
          <a:pPr algn="ctr"/>
          <a:r>
            <a:rPr lang="en-US" sz="1400" b="1" u="sng"/>
            <a:t>September</a:t>
          </a:r>
          <a:r>
            <a:rPr lang="en-US" sz="1400" b="1" u="sng" baseline="0"/>
            <a:t> 12th</a:t>
          </a:r>
        </a:p>
        <a:p>
          <a:pPr algn="ctr"/>
          <a:r>
            <a:rPr lang="en-US" sz="1400" b="0" u="none" baseline="0"/>
            <a:t>$1 Kids Class/Bring a Friend </a:t>
          </a: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9:00am </a:t>
          </a:r>
          <a:endParaRPr lang="en-US" sz="1400" b="0" u="none" baseline="0"/>
        </a:p>
        <a:p>
          <a:pPr algn="ctr"/>
          <a:r>
            <a:rPr lang="en-US" sz="1400" b="0" u="none" baseline="0"/>
            <a:t>1st Saturday Roda!</a:t>
          </a:r>
        </a:p>
        <a:p>
          <a:pPr algn="ctr"/>
          <a:r>
            <a:rPr lang="en-US" sz="1400" b="0" u="none" baseline="0"/>
            <a:t>10:00am Kids Roda</a:t>
          </a:r>
          <a:endParaRPr lang="en-US" sz="1400" b="0" u="none"/>
        </a:p>
      </xdr:txBody>
    </xdr:sp>
    <xdr:clientData/>
  </xdr:twoCellAnchor>
  <xdr:twoCellAnchor editAs="oneCell">
    <xdr:from>
      <xdr:col>8</xdr:col>
      <xdr:colOff>55377</xdr:colOff>
      <xdr:row>26</xdr:row>
      <xdr:rowOff>476250</xdr:rowOff>
    </xdr:from>
    <xdr:to>
      <xdr:col>8</xdr:col>
      <xdr:colOff>254737</xdr:colOff>
      <xdr:row>26</xdr:row>
      <xdr:rowOff>668837</xdr:rowOff>
    </xdr:to>
    <xdr:pic>
      <xdr:nvPicPr>
        <xdr:cNvPr id="46" name="Picture 45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2412" y="10732238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927690</xdr:colOff>
      <xdr:row>26</xdr:row>
      <xdr:rowOff>484668</xdr:rowOff>
    </xdr:from>
    <xdr:to>
      <xdr:col>10</xdr:col>
      <xdr:colOff>41643</xdr:colOff>
      <xdr:row>26</xdr:row>
      <xdr:rowOff>677255</xdr:rowOff>
    </xdr:to>
    <xdr:pic>
      <xdr:nvPicPr>
        <xdr:cNvPr id="47" name="Picture 46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9812" y="10740656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66453</xdr:colOff>
      <xdr:row>42</xdr:row>
      <xdr:rowOff>11076</xdr:rowOff>
    </xdr:from>
    <xdr:to>
      <xdr:col>10</xdr:col>
      <xdr:colOff>88605</xdr:colOff>
      <xdr:row>52</xdr:row>
      <xdr:rowOff>22152</xdr:rowOff>
    </xdr:to>
    <xdr:sp macro="" textlink="">
      <xdr:nvSpPr>
        <xdr:cNvPr id="45" name="TextBox 44"/>
        <xdr:cNvSpPr txBox="1"/>
      </xdr:nvSpPr>
      <xdr:spPr>
        <a:xfrm>
          <a:off x="9303488" y="17599099"/>
          <a:ext cx="2292646" cy="46960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/>
            <a:t>Highlights</a:t>
          </a:r>
          <a:r>
            <a:rPr lang="en-US" sz="1400" b="1" baseline="0"/>
            <a:t> This Month</a:t>
          </a:r>
        </a:p>
        <a:p>
          <a:pPr algn="ctr"/>
          <a:r>
            <a:rPr lang="en-US" sz="1400" b="1" u="sng" baseline="0"/>
            <a:t>October 2nd</a:t>
          </a: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1st Fridays Roda!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6:00pm Music Class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6:30pm Adult Roda</a:t>
          </a:r>
          <a:endParaRPr lang="en-US" sz="1400" b="1" baseline="0"/>
        </a:p>
        <a:p>
          <a:pPr algn="ctr"/>
          <a:r>
            <a:rPr lang="en-US" sz="1400" b="1" u="sng"/>
            <a:t>October 3rd</a:t>
          </a:r>
        </a:p>
        <a:p>
          <a:pPr algn="ctr"/>
          <a:r>
            <a:rPr lang="en-US" sz="1400" b="0"/>
            <a:t>Promotion</a:t>
          </a:r>
          <a:r>
            <a:rPr lang="en-US" sz="1400" b="0" baseline="0"/>
            <a:t> Ceremony!</a:t>
          </a:r>
        </a:p>
        <a:p>
          <a:pPr algn="ctr"/>
          <a:r>
            <a:rPr lang="en-US" sz="1400" b="0" baseline="0"/>
            <a:t>10:00am Kids Ceremony</a:t>
          </a:r>
        </a:p>
        <a:p>
          <a:pPr algn="ctr"/>
          <a:r>
            <a:rPr lang="en-US" sz="1400" b="0" baseline="0"/>
            <a:t>Adults TBD</a:t>
          </a:r>
        </a:p>
        <a:p>
          <a:pPr algn="ctr"/>
          <a:r>
            <a:rPr lang="en-US" sz="1400" b="1" u="sng" baseline="0"/>
            <a:t>October 10th</a:t>
          </a:r>
        </a:p>
        <a:p>
          <a:pPr algn="ctr"/>
          <a:r>
            <a:rPr lang="en-US" sz="1400" b="0" u="none" baseline="0"/>
            <a:t>2nd Saturdays Roda!</a:t>
          </a:r>
        </a:p>
        <a:p>
          <a:pPr algn="ctr"/>
          <a:r>
            <a:rPr lang="en-US" sz="1400" b="0" u="none" baseline="0"/>
            <a:t>10:00am Kids Roda</a:t>
          </a:r>
        </a:p>
        <a:p>
          <a:pPr algn="ctr"/>
          <a:r>
            <a:rPr lang="en-US" sz="1400" b="1" u="sng" baseline="0"/>
            <a:t>October 17th</a:t>
          </a:r>
        </a:p>
        <a:p>
          <a:pPr algn="ctr"/>
          <a:r>
            <a:rPr lang="en-US" sz="1400" b="0" u="none" baseline="0"/>
            <a:t>10:00am Kids Class             6-9pm Parent's Night Out</a:t>
          </a:r>
        </a:p>
        <a:p>
          <a:pPr algn="ctr"/>
          <a:r>
            <a:rPr lang="en-US" sz="1400" b="1" u="sng" baseline="0"/>
            <a:t>October 18th</a:t>
          </a:r>
        </a:p>
        <a:p>
          <a:pPr algn="ctr"/>
          <a:r>
            <a:rPr lang="en-US" sz="1400" b="0" u="none" baseline="0"/>
            <a:t>Active Streets Gainesville</a:t>
          </a:r>
        </a:p>
        <a:p>
          <a:pPr algn="ctr"/>
          <a:r>
            <a:rPr lang="en-US" sz="1400" b="0" u="none" baseline="0"/>
            <a:t> </a:t>
          </a:r>
          <a:r>
            <a:rPr lang="en-US" sz="1400" b="1" u="sng" baseline="0"/>
            <a:t>October 24th</a:t>
          </a:r>
          <a:endParaRPr lang="en-US" sz="1400" b="0" u="sng" baseline="0"/>
        </a:p>
        <a:p>
          <a:pPr algn="ctr"/>
          <a:r>
            <a:rPr lang="en-US" sz="1400" b="0" baseline="0"/>
            <a:t>ACL Tallahassee Promotion Ceremony</a:t>
          </a:r>
        </a:p>
        <a:p>
          <a:pPr algn="ctr"/>
          <a:r>
            <a:rPr lang="en-US" sz="1400" b="1" u="sng" baseline="0"/>
            <a:t>October 26th</a:t>
          </a:r>
        </a:p>
        <a:p>
          <a:pPr algn="ctr"/>
          <a:r>
            <a:rPr lang="en-US" sz="1400" b="0" baseline="0"/>
            <a:t>Santa Fe Community Ed </a:t>
          </a:r>
          <a:endParaRPr lang="en-US" sz="1400" b="1"/>
        </a:p>
      </xdr:txBody>
    </xdr:sp>
    <xdr:clientData/>
  </xdr:twoCellAnchor>
  <xdr:twoCellAnchor editAs="oneCell">
    <xdr:from>
      <xdr:col>8</xdr:col>
      <xdr:colOff>132907</xdr:colOff>
      <xdr:row>43</xdr:row>
      <xdr:rowOff>420873</xdr:rowOff>
    </xdr:from>
    <xdr:to>
      <xdr:col>8</xdr:col>
      <xdr:colOff>332267</xdr:colOff>
      <xdr:row>43</xdr:row>
      <xdr:rowOff>613460</xdr:rowOff>
    </xdr:to>
    <xdr:pic>
      <xdr:nvPicPr>
        <xdr:cNvPr id="49" name="Picture 48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9942" y="17743082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1027370</xdr:colOff>
      <xdr:row>43</xdr:row>
      <xdr:rowOff>407138</xdr:rowOff>
    </xdr:from>
    <xdr:to>
      <xdr:col>10</xdr:col>
      <xdr:colOff>141323</xdr:colOff>
      <xdr:row>43</xdr:row>
      <xdr:rowOff>599725</xdr:rowOff>
    </xdr:to>
    <xdr:pic>
      <xdr:nvPicPr>
        <xdr:cNvPr id="50" name="Picture 49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492" y="17729347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33228</xdr:colOff>
      <xdr:row>61</xdr:row>
      <xdr:rowOff>465174</xdr:rowOff>
    </xdr:from>
    <xdr:to>
      <xdr:col>10</xdr:col>
      <xdr:colOff>33228</xdr:colOff>
      <xdr:row>68</xdr:row>
      <xdr:rowOff>77529</xdr:rowOff>
    </xdr:to>
    <xdr:sp macro="" textlink="">
      <xdr:nvSpPr>
        <xdr:cNvPr id="48" name="TextBox 47"/>
        <xdr:cNvSpPr txBox="1"/>
      </xdr:nvSpPr>
      <xdr:spPr>
        <a:xfrm>
          <a:off x="9270263" y="25030814"/>
          <a:ext cx="2270494" cy="29571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/>
            <a:t>Highlights This</a:t>
          </a:r>
          <a:r>
            <a:rPr lang="en-US" sz="1400" b="1" baseline="0"/>
            <a:t> Month</a:t>
          </a:r>
        </a:p>
        <a:p>
          <a:pPr algn="ctr"/>
          <a:endParaRPr lang="en-US" sz="1400" b="1"/>
        </a:p>
        <a:p>
          <a:pPr algn="ctr"/>
          <a:r>
            <a:rPr lang="en-US" sz="1400" b="1" u="sng"/>
            <a:t>November</a:t>
          </a:r>
          <a:r>
            <a:rPr lang="en-US" sz="1400" b="1" u="sng" baseline="0"/>
            <a:t> 6th</a:t>
          </a: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1st Fridays Roda!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6:00pm Music Class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6:30pm Adult Roda</a:t>
          </a:r>
          <a:endParaRPr lang="en-US" sz="1400">
            <a:effectLst/>
          </a:endParaRPr>
        </a:p>
        <a:p>
          <a:pPr algn="ctr"/>
          <a:endParaRPr lang="en-US" sz="1400" b="0" u="none" baseline="0"/>
        </a:p>
        <a:p>
          <a:pPr algn="ctr"/>
          <a:r>
            <a:rPr lang="en-US" sz="1400" b="1" u="sng" baseline="0"/>
            <a:t>November 14th</a:t>
          </a:r>
        </a:p>
        <a:p>
          <a:pPr algn="ctr"/>
          <a:r>
            <a:rPr lang="en-US" sz="1400" b="0" u="none" baseline="0"/>
            <a:t>2nd Saturdays Roda</a:t>
          </a:r>
        </a:p>
        <a:p>
          <a:pPr algn="ctr"/>
          <a:r>
            <a:rPr lang="en-US" sz="1400" b="0" u="none" baseline="0"/>
            <a:t>10:00 am Kids Roda</a:t>
          </a:r>
        </a:p>
        <a:p>
          <a:pPr algn="ctr"/>
          <a:endParaRPr lang="en-US" sz="1400" b="0" u="none" baseline="0"/>
        </a:p>
        <a:p>
          <a:pPr algn="ctr"/>
          <a:r>
            <a:rPr lang="en-US" sz="1400" b="1" u="sng" baseline="0"/>
            <a:t>November 16-19th</a:t>
          </a:r>
        </a:p>
        <a:p>
          <a:pPr algn="ctr"/>
          <a:r>
            <a:rPr lang="en-US" sz="1400" b="0" u="none" baseline="0"/>
            <a:t>In-Class Promotions!</a:t>
          </a:r>
          <a:endParaRPr lang="en-US" sz="1400" b="0" u="none"/>
        </a:p>
      </xdr:txBody>
    </xdr:sp>
    <xdr:clientData/>
  </xdr:twoCellAnchor>
  <xdr:twoCellAnchor editAs="oneCell">
    <xdr:from>
      <xdr:col>8</xdr:col>
      <xdr:colOff>33226</xdr:colOff>
      <xdr:row>61</xdr:row>
      <xdr:rowOff>476250</xdr:rowOff>
    </xdr:from>
    <xdr:to>
      <xdr:col>8</xdr:col>
      <xdr:colOff>232586</xdr:colOff>
      <xdr:row>61</xdr:row>
      <xdr:rowOff>668837</xdr:rowOff>
    </xdr:to>
    <xdr:pic>
      <xdr:nvPicPr>
        <xdr:cNvPr id="53" name="Picture 52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0261" y="25041890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905541</xdr:colOff>
      <xdr:row>61</xdr:row>
      <xdr:rowOff>484667</xdr:rowOff>
    </xdr:from>
    <xdr:to>
      <xdr:col>10</xdr:col>
      <xdr:colOff>19494</xdr:colOff>
      <xdr:row>61</xdr:row>
      <xdr:rowOff>677254</xdr:rowOff>
    </xdr:to>
    <xdr:pic>
      <xdr:nvPicPr>
        <xdr:cNvPr id="55" name="Picture 54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27663" y="25050307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199363</xdr:colOff>
      <xdr:row>26</xdr:row>
      <xdr:rowOff>32542</xdr:rowOff>
    </xdr:from>
    <xdr:to>
      <xdr:col>6</xdr:col>
      <xdr:colOff>1074333</xdr:colOff>
      <xdr:row>26</xdr:row>
      <xdr:rowOff>854870</xdr:rowOff>
    </xdr:to>
    <xdr:pic>
      <xdr:nvPicPr>
        <xdr:cNvPr id="57" name="Picture 56" descr="C:\Users\Joshua\AppData\Local\Microsoft\Windows\Temporary Internet Files\Content.IE5\QDCEPMLT\1227510776[1]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0729" y="10288530"/>
          <a:ext cx="874970" cy="82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188286</xdr:colOff>
      <xdr:row>63</xdr:row>
      <xdr:rowOff>874973</xdr:rowOff>
    </xdr:from>
    <xdr:to>
      <xdr:col>7</xdr:col>
      <xdr:colOff>1329071</xdr:colOff>
      <xdr:row>66</xdr:row>
      <xdr:rowOff>102530</xdr:rowOff>
    </xdr:to>
    <xdr:pic>
      <xdr:nvPicPr>
        <xdr:cNvPr id="58" name="Picture 57" descr="C:\Users\Joshua\AppData\Local\Microsoft\Windows\Temporary Internet Files\Content.IE5\QDCEPMLT\PU_DBS_DigiScraps_Turkey[1]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3344" y="26326659"/>
          <a:ext cx="1140785" cy="1088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99680</xdr:colOff>
      <xdr:row>78</xdr:row>
      <xdr:rowOff>498401</xdr:rowOff>
    </xdr:from>
    <xdr:to>
      <xdr:col>10</xdr:col>
      <xdr:colOff>121832</xdr:colOff>
      <xdr:row>84</xdr:row>
      <xdr:rowOff>321192</xdr:rowOff>
    </xdr:to>
    <xdr:sp macro="" textlink="">
      <xdr:nvSpPr>
        <xdr:cNvPr id="51" name="TextBox 50"/>
        <xdr:cNvSpPr txBox="1"/>
      </xdr:nvSpPr>
      <xdr:spPr>
        <a:xfrm>
          <a:off x="9336715" y="32019506"/>
          <a:ext cx="2292646" cy="24809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 u="sng"/>
            <a:t>Highlights</a:t>
          </a:r>
          <a:r>
            <a:rPr lang="en-US" sz="1400" b="1" u="sng" baseline="0"/>
            <a:t> This Month</a:t>
          </a:r>
          <a:endParaRPr lang="en-US" sz="1400" b="0" u="none" baseline="0"/>
        </a:p>
        <a:p>
          <a:pPr algn="ctr"/>
          <a:endParaRPr lang="en-US" sz="1400" b="0" u="none" baseline="0"/>
        </a:p>
        <a:p>
          <a:pPr algn="ctr"/>
          <a:r>
            <a:rPr lang="en-US" sz="1400" b="1" u="sng" baseline="0"/>
            <a:t>December 4th</a:t>
          </a: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1st Fridays Roda!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6:00pm Music Class</a:t>
          </a:r>
          <a:endParaRPr lang="en-US" sz="1400">
            <a:effectLst/>
          </a:endParaRPr>
        </a:p>
        <a:p>
          <a:pPr algn="ctr"/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6:30pm Adult Roda</a:t>
          </a:r>
          <a:endParaRPr lang="en-US" sz="1400">
            <a:effectLst/>
          </a:endParaRPr>
        </a:p>
        <a:p>
          <a:pPr algn="ctr"/>
          <a:endParaRPr lang="en-US" sz="1400" b="1" u="sng"/>
        </a:p>
        <a:p>
          <a:pPr algn="ctr"/>
          <a:r>
            <a:rPr lang="en-US" sz="1400" b="1" u="sng"/>
            <a:t>December 12th</a:t>
          </a:r>
        </a:p>
        <a:p>
          <a:pPr algn="ctr"/>
          <a:r>
            <a:rPr lang="en-US" sz="1400" b="0" u="none"/>
            <a:t>2nd Saturdays Roda!</a:t>
          </a:r>
        </a:p>
        <a:p>
          <a:pPr algn="ctr"/>
          <a:r>
            <a:rPr lang="en-US" sz="1400" b="0" u="none"/>
            <a:t>10:00 am</a:t>
          </a:r>
          <a:r>
            <a:rPr lang="en-US" sz="1400" b="0" u="none" baseline="0"/>
            <a:t> Kids Roda</a:t>
          </a:r>
          <a:endParaRPr lang="en-US" sz="1400" b="0" u="none"/>
        </a:p>
      </xdr:txBody>
    </xdr:sp>
    <xdr:clientData/>
  </xdr:twoCellAnchor>
  <xdr:twoCellAnchor editAs="oneCell">
    <xdr:from>
      <xdr:col>9</xdr:col>
      <xdr:colOff>996802</xdr:colOff>
      <xdr:row>78</xdr:row>
      <xdr:rowOff>520551</xdr:rowOff>
    </xdr:from>
    <xdr:to>
      <xdr:col>10</xdr:col>
      <xdr:colOff>110755</xdr:colOff>
      <xdr:row>79</xdr:row>
      <xdr:rowOff>4301</xdr:rowOff>
    </xdr:to>
    <xdr:pic>
      <xdr:nvPicPr>
        <xdr:cNvPr id="60" name="Picture 59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8924" y="32041656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119173</xdr:colOff>
      <xdr:row>78</xdr:row>
      <xdr:rowOff>540045</xdr:rowOff>
    </xdr:from>
    <xdr:to>
      <xdr:col>8</xdr:col>
      <xdr:colOff>318533</xdr:colOff>
      <xdr:row>79</xdr:row>
      <xdr:rowOff>23795</xdr:rowOff>
    </xdr:to>
    <xdr:pic>
      <xdr:nvPicPr>
        <xdr:cNvPr id="61" name="Picture 60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6208" y="32061150"/>
          <a:ext cx="199360" cy="192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199361</xdr:colOff>
      <xdr:row>42</xdr:row>
      <xdr:rowOff>44302</xdr:rowOff>
    </xdr:from>
    <xdr:to>
      <xdr:col>6</xdr:col>
      <xdr:colOff>1074331</xdr:colOff>
      <xdr:row>43</xdr:row>
      <xdr:rowOff>689420</xdr:rowOff>
    </xdr:to>
    <xdr:pic>
      <xdr:nvPicPr>
        <xdr:cNvPr id="56" name="Picture 55" descr="C:\Users\Joshua\AppData\Local\Microsoft\Windows\Temporary Internet Files\Content.IE5\QDCEPMLT\1227510776[1]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0727" y="17189302"/>
          <a:ext cx="874970" cy="82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232587</xdr:colOff>
      <xdr:row>60</xdr:row>
      <xdr:rowOff>33227</xdr:rowOff>
    </xdr:from>
    <xdr:to>
      <xdr:col>6</xdr:col>
      <xdr:colOff>1107557</xdr:colOff>
      <xdr:row>61</xdr:row>
      <xdr:rowOff>678345</xdr:rowOff>
    </xdr:to>
    <xdr:pic>
      <xdr:nvPicPr>
        <xdr:cNvPr id="59" name="Picture 58" descr="C:\Users\Joshua\AppData\Local\Microsoft\Windows\Temporary Internet Files\Content.IE5\QDCEPMLT\1227510776[1]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3953" y="24421657"/>
          <a:ext cx="874970" cy="82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232587</xdr:colOff>
      <xdr:row>77</xdr:row>
      <xdr:rowOff>55379</xdr:rowOff>
    </xdr:from>
    <xdr:to>
      <xdr:col>6</xdr:col>
      <xdr:colOff>1063256</xdr:colOff>
      <xdr:row>78</xdr:row>
      <xdr:rowOff>658862</xdr:rowOff>
    </xdr:to>
    <xdr:pic>
      <xdr:nvPicPr>
        <xdr:cNvPr id="62" name="Picture 61" descr="C:\Users\Joshua\AppData\Local\Microsoft\Windows\Temporary Internet Files\Content.IE5\QDCEPMLT\1227510776[1]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3953" y="31399274"/>
          <a:ext cx="830669" cy="780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365493</xdr:colOff>
      <xdr:row>14</xdr:row>
      <xdr:rowOff>33227</xdr:rowOff>
    </xdr:from>
    <xdr:to>
      <xdr:col>7</xdr:col>
      <xdr:colOff>1240463</xdr:colOff>
      <xdr:row>15</xdr:row>
      <xdr:rowOff>667270</xdr:rowOff>
    </xdr:to>
    <xdr:pic>
      <xdr:nvPicPr>
        <xdr:cNvPr id="63" name="Picture 62" descr="C:\Users\Joshua\AppData\Local\Microsoft\Windows\Temporary Internet Files\Content.IE5\QDCEPMLT\1227510776[1]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0551" y="6645349"/>
          <a:ext cx="874970" cy="822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384987</xdr:colOff>
      <xdr:row>48</xdr:row>
      <xdr:rowOff>152400</xdr:rowOff>
    </xdr:from>
    <xdr:to>
      <xdr:col>1</xdr:col>
      <xdr:colOff>684028</xdr:colOff>
      <xdr:row>49</xdr:row>
      <xdr:rowOff>261550</xdr:rowOff>
    </xdr:to>
    <xdr:pic>
      <xdr:nvPicPr>
        <xdr:cNvPr id="64" name="Picture 63" descr="C:\Users\Joshua\AppData\Local\Microsoft\Windows\Temporary Internet Files\Content.IE5\1UMRMWX7\4240385850_34c6799b77_z[1]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01" y="19999842"/>
          <a:ext cx="299041" cy="286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7"/>
  <sheetViews>
    <sheetView showGridLines="0" tabSelected="1" topLeftCell="A37" zoomScale="86" zoomScaleNormal="86" workbookViewId="0">
      <selection activeCell="M44" sqref="M44"/>
    </sheetView>
  </sheetViews>
  <sheetFormatPr defaultColWidth="6.6640625" defaultRowHeight="14.25" x14ac:dyDescent="0.2"/>
  <cols>
    <col min="1" max="1" width="3.109375" style="1" customWidth="1"/>
    <col min="2" max="2" width="8.6640625" style="1" customWidth="1"/>
    <col min="3" max="3" width="15.21875" style="1" customWidth="1"/>
    <col min="4" max="4" width="17.5546875" style="1" customWidth="1"/>
    <col min="5" max="5" width="15" style="1" customWidth="1"/>
    <col min="6" max="6" width="17.109375" style="1" customWidth="1"/>
    <col min="7" max="7" width="14.88671875" style="1" customWidth="1"/>
    <col min="8" max="8" width="17" style="1" customWidth="1"/>
    <col min="9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2015</v>
      </c>
    </row>
    <row r="3" spans="1:18" ht="57.75" customHeight="1" x14ac:dyDescent="0.25">
      <c r="A3"/>
      <c r="B3" s="33" t="str">
        <f>UPPER(TEXT(DATE(CalendarYear,8,1),"mmmm yyyy"))</f>
        <v>AUGUST 2015</v>
      </c>
      <c r="C3" s="33"/>
      <c r="D3" s="33"/>
      <c r="E3" s="33"/>
      <c r="F3" s="33"/>
    </row>
    <row r="4" spans="1:18" customFormat="1" ht="29.25" customHeight="1" x14ac:dyDescent="0.25">
      <c r="B4" s="22" t="s">
        <v>6</v>
      </c>
      <c r="C4" s="23" t="s">
        <v>0</v>
      </c>
      <c r="D4" s="23" t="s">
        <v>1</v>
      </c>
      <c r="E4" s="23" t="s">
        <v>2</v>
      </c>
      <c r="F4" s="23" t="s">
        <v>3</v>
      </c>
      <c r="G4" s="23" t="s">
        <v>4</v>
      </c>
      <c r="H4" s="24" t="s">
        <v>5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IF(DAY(AugSun1)=1,"",IF(AND(YEAR(AugSun1+4)=CalendarYear,MONTH(AugSun1+4)=1),AugSun1+4,""))</f>
        <v/>
      </c>
      <c r="F5" s="17"/>
      <c r="G5" s="17"/>
      <c r="H5" s="17">
        <v>42217</v>
      </c>
      <c r="I5" s="3"/>
      <c r="K5" s="1"/>
      <c r="L5" s="1"/>
      <c r="M5" s="1"/>
      <c r="Q5" s="2"/>
      <c r="R5" s="1"/>
    </row>
    <row r="6" spans="1:18" s="2" customFormat="1" ht="60" customHeight="1" x14ac:dyDescent="0.25">
      <c r="A6"/>
      <c r="B6" s="10"/>
      <c r="C6" s="10"/>
      <c r="D6" s="10"/>
      <c r="E6" s="10"/>
      <c r="F6" s="10"/>
      <c r="G6" s="11"/>
      <c r="H6" s="27" t="s">
        <v>9</v>
      </c>
      <c r="I6" s="3"/>
    </row>
    <row r="7" spans="1:18" ht="15" customHeight="1" x14ac:dyDescent="0.25">
      <c r="A7"/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  <c r="I7" s="3"/>
    </row>
    <row r="8" spans="1:18" ht="58.5" customHeight="1" x14ac:dyDescent="0.25">
      <c r="A8"/>
      <c r="B8" s="12"/>
      <c r="C8" s="30" t="s">
        <v>18</v>
      </c>
      <c r="D8" s="30" t="s">
        <v>19</v>
      </c>
      <c r="E8" s="30" t="s">
        <v>18</v>
      </c>
      <c r="F8" s="12"/>
      <c r="G8" s="13"/>
      <c r="H8" s="13"/>
      <c r="I8" s="3"/>
    </row>
    <row r="9" spans="1:18" ht="15" customHeight="1" x14ac:dyDescent="0.25">
      <c r="A9"/>
      <c r="B9" s="19">
        <v>9</v>
      </c>
      <c r="C9" s="19">
        <v>10</v>
      </c>
      <c r="D9" s="19">
        <v>11</v>
      </c>
      <c r="E9" s="19">
        <v>12</v>
      </c>
      <c r="F9" s="19">
        <v>13</v>
      </c>
      <c r="G9" s="19">
        <v>14</v>
      </c>
      <c r="H9" s="19">
        <v>15</v>
      </c>
      <c r="I9" s="3"/>
    </row>
    <row r="10" spans="1:18" ht="62.25" customHeight="1" x14ac:dyDescent="0.25">
      <c r="A10"/>
      <c r="B10" s="10"/>
      <c r="C10" s="30" t="s">
        <v>18</v>
      </c>
      <c r="D10" s="30" t="s">
        <v>19</v>
      </c>
      <c r="E10" s="30" t="s">
        <v>18</v>
      </c>
      <c r="F10" s="10"/>
      <c r="G10" s="11"/>
      <c r="H10" s="27" t="s">
        <v>10</v>
      </c>
      <c r="I10" s="3"/>
    </row>
    <row r="11" spans="1:18" ht="15" customHeight="1" x14ac:dyDescent="0.25">
      <c r="A11"/>
      <c r="B11" s="20">
        <v>16</v>
      </c>
      <c r="C11" s="20">
        <v>17</v>
      </c>
      <c r="D11" s="20">
        <v>18</v>
      </c>
      <c r="E11" s="20">
        <v>19</v>
      </c>
      <c r="F11" s="20">
        <v>20</v>
      </c>
      <c r="G11" s="20">
        <v>21</v>
      </c>
      <c r="H11" s="20">
        <v>22</v>
      </c>
      <c r="I11" s="3"/>
    </row>
    <row r="12" spans="1:18" ht="66.75" customHeight="1" x14ac:dyDescent="0.25">
      <c r="A12"/>
      <c r="B12" s="12"/>
      <c r="C12" s="30" t="s">
        <v>18</v>
      </c>
      <c r="D12" s="30" t="s">
        <v>19</v>
      </c>
      <c r="E12" s="30" t="s">
        <v>18</v>
      </c>
      <c r="F12" s="30" t="s">
        <v>20</v>
      </c>
      <c r="G12" s="13"/>
      <c r="H12" s="13"/>
      <c r="I12" s="3"/>
    </row>
    <row r="13" spans="1:18" ht="15" customHeight="1" x14ac:dyDescent="0.25">
      <c r="A13"/>
      <c r="B13" s="19">
        <v>23</v>
      </c>
      <c r="C13" s="19">
        <v>24</v>
      </c>
      <c r="D13" s="19">
        <v>25</v>
      </c>
      <c r="E13" s="19">
        <v>26</v>
      </c>
      <c r="F13" s="19">
        <v>27</v>
      </c>
      <c r="G13" s="19">
        <v>28</v>
      </c>
      <c r="H13" s="19">
        <v>29</v>
      </c>
      <c r="I13" s="3"/>
    </row>
    <row r="14" spans="1:18" ht="69.75" customHeight="1" x14ac:dyDescent="0.25">
      <c r="A14"/>
      <c r="B14" s="10"/>
      <c r="C14" s="30" t="s">
        <v>21</v>
      </c>
      <c r="D14" s="30" t="s">
        <v>19</v>
      </c>
      <c r="E14" s="30" t="s">
        <v>18</v>
      </c>
      <c r="F14" s="30" t="s">
        <v>19</v>
      </c>
      <c r="G14" s="11"/>
      <c r="H14" s="11"/>
      <c r="I14" s="3"/>
    </row>
    <row r="15" spans="1:18" ht="15" customHeight="1" x14ac:dyDescent="0.25">
      <c r="A15"/>
      <c r="B15" s="20">
        <v>30</v>
      </c>
      <c r="C15" s="21">
        <v>31</v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2:8" ht="17.25" customHeight="1" x14ac:dyDescent="0.2"/>
    <row r="18" spans="2:8" ht="17.25" customHeight="1" x14ac:dyDescent="0.2"/>
    <row r="19" spans="2:8" ht="17.25" customHeight="1" x14ac:dyDescent="0.2"/>
    <row r="21" spans="2:8" ht="21" customHeight="1" x14ac:dyDescent="0.25">
      <c r="C21" s="6"/>
      <c r="D21" s="5"/>
      <c r="E21" s="4"/>
    </row>
    <row r="22" spans="2:8" ht="49.5" x14ac:dyDescent="0.2">
      <c r="B22" s="33" t="str">
        <f>UPPER(TEXT(DATE(CalendarYear,9,1),"mmmm yyyy"))</f>
        <v>SEPTEMBER 2015</v>
      </c>
      <c r="C22" s="33"/>
      <c r="D22" s="33"/>
      <c r="E22" s="33"/>
      <c r="F22" s="33"/>
    </row>
    <row r="23" spans="2:8" ht="29.25" customHeight="1" x14ac:dyDescent="0.2">
      <c r="B23" s="22" t="s">
        <v>6</v>
      </c>
      <c r="C23" s="23" t="s">
        <v>0</v>
      </c>
      <c r="D23" s="23" t="s">
        <v>1</v>
      </c>
      <c r="E23" s="23" t="s">
        <v>2</v>
      </c>
      <c r="F23" s="23" t="s">
        <v>3</v>
      </c>
      <c r="G23" s="23" t="s">
        <v>4</v>
      </c>
      <c r="H23" s="24" t="s">
        <v>5</v>
      </c>
    </row>
    <row r="24" spans="2:8" x14ac:dyDescent="0.2">
      <c r="B24" s="17" t="str">
        <f>IF(DAY(JanSun1)=1,"",IF(AND(YEAR(JanSun1+1)=CalendarYear,MONTH(JanSun1+1)=1),JanSun1+1,""))</f>
        <v/>
      </c>
      <c r="C24" s="17" t="str">
        <f>IF(DAY(JanSun1)=1,"",IF(AND(YEAR(JanSun1+2)=CalendarYear,MONTH(JanSun1+2)=1),JanSun1+2,""))</f>
        <v/>
      </c>
      <c r="D24" s="17">
        <v>1</v>
      </c>
      <c r="E24" s="17">
        <v>2</v>
      </c>
      <c r="F24" s="17">
        <v>3</v>
      </c>
      <c r="G24" s="17">
        <v>4</v>
      </c>
      <c r="H24" s="17">
        <v>5</v>
      </c>
    </row>
    <row r="25" spans="2:8" ht="56.25" customHeight="1" x14ac:dyDescent="0.2">
      <c r="B25" s="10"/>
      <c r="C25" s="10"/>
      <c r="D25" s="30" t="s">
        <v>19</v>
      </c>
      <c r="E25" s="30" t="s">
        <v>18</v>
      </c>
      <c r="F25" s="30" t="s">
        <v>19</v>
      </c>
      <c r="G25" s="31" t="s">
        <v>15</v>
      </c>
      <c r="H25" s="32" t="s">
        <v>26</v>
      </c>
    </row>
    <row r="26" spans="2:8" x14ac:dyDescent="0.2">
      <c r="B26" s="18">
        <v>6</v>
      </c>
      <c r="C26" s="18">
        <v>7</v>
      </c>
      <c r="D26" s="18">
        <v>8</v>
      </c>
      <c r="E26" s="18">
        <v>9</v>
      </c>
      <c r="F26" s="18">
        <v>10</v>
      </c>
      <c r="G26" s="18">
        <v>11</v>
      </c>
      <c r="H26" s="18">
        <v>12</v>
      </c>
    </row>
    <row r="27" spans="2:8" ht="84.75" customHeight="1" x14ac:dyDescent="0.2">
      <c r="B27" s="26"/>
      <c r="C27" s="26" t="s">
        <v>27</v>
      </c>
      <c r="D27" s="26" t="s">
        <v>19</v>
      </c>
      <c r="E27" s="26" t="s">
        <v>18</v>
      </c>
      <c r="F27" s="26" t="s">
        <v>19</v>
      </c>
      <c r="G27" s="26"/>
      <c r="H27" s="31" t="s">
        <v>28</v>
      </c>
    </row>
    <row r="28" spans="2:8" x14ac:dyDescent="0.2">
      <c r="B28" s="19">
        <v>13</v>
      </c>
      <c r="C28" s="19">
        <v>14</v>
      </c>
      <c r="D28" s="19">
        <v>15</v>
      </c>
      <c r="E28" s="19">
        <v>16</v>
      </c>
      <c r="F28" s="19">
        <v>17</v>
      </c>
      <c r="G28" s="19">
        <v>18</v>
      </c>
      <c r="H28" s="19">
        <v>19</v>
      </c>
    </row>
    <row r="29" spans="2:8" ht="55.5" customHeight="1" x14ac:dyDescent="0.2">
      <c r="B29" s="10"/>
      <c r="C29" s="30" t="s">
        <v>18</v>
      </c>
      <c r="D29" s="30" t="s">
        <v>19</v>
      </c>
      <c r="E29" s="30" t="s">
        <v>18</v>
      </c>
      <c r="F29" s="30" t="s">
        <v>19</v>
      </c>
      <c r="G29" s="11"/>
      <c r="H29" s="32" t="s">
        <v>25</v>
      </c>
    </row>
    <row r="30" spans="2:8" x14ac:dyDescent="0.2">
      <c r="B30" s="20">
        <v>20</v>
      </c>
      <c r="C30" s="20">
        <v>21</v>
      </c>
      <c r="D30" s="20">
        <v>22</v>
      </c>
      <c r="E30" s="20">
        <v>23</v>
      </c>
      <c r="F30" s="20">
        <v>24</v>
      </c>
      <c r="G30" s="20">
        <v>25</v>
      </c>
      <c r="H30" s="20">
        <v>26</v>
      </c>
    </row>
    <row r="31" spans="2:8" ht="55.5" customHeight="1" x14ac:dyDescent="0.2">
      <c r="B31" s="12"/>
      <c r="C31" s="30" t="s">
        <v>18</v>
      </c>
      <c r="D31" s="30" t="s">
        <v>19</v>
      </c>
      <c r="E31" s="30" t="s">
        <v>18</v>
      </c>
      <c r="F31" s="30" t="s">
        <v>19</v>
      </c>
      <c r="G31" s="13"/>
      <c r="H31" s="13"/>
    </row>
    <row r="32" spans="2:8" x14ac:dyDescent="0.2">
      <c r="B32" s="19">
        <v>27</v>
      </c>
      <c r="C32" s="19">
        <v>28</v>
      </c>
      <c r="D32" s="19">
        <v>29</v>
      </c>
      <c r="E32" s="19">
        <v>30</v>
      </c>
      <c r="F32" s="19"/>
      <c r="G32" s="19"/>
      <c r="H32" s="19"/>
    </row>
    <row r="33" spans="2:8" ht="55.5" customHeight="1" x14ac:dyDescent="0.2">
      <c r="B33" s="10"/>
      <c r="C33" s="30" t="s">
        <v>18</v>
      </c>
      <c r="D33" s="30" t="s">
        <v>19</v>
      </c>
      <c r="E33" s="30" t="s">
        <v>18</v>
      </c>
      <c r="F33" s="30"/>
      <c r="G33" s="11"/>
      <c r="H33" s="11"/>
    </row>
    <row r="34" spans="2:8" x14ac:dyDescent="0.2">
      <c r="B34" s="20"/>
      <c r="C34" s="21"/>
      <c r="D34" s="34" t="s">
        <v>7</v>
      </c>
      <c r="E34" s="35"/>
      <c r="F34" s="35"/>
      <c r="G34" s="35"/>
      <c r="H34" s="36"/>
    </row>
    <row r="35" spans="2:8" ht="43.5" customHeight="1" x14ac:dyDescent="0.2">
      <c r="B35" s="12"/>
      <c r="C35" s="12"/>
      <c r="D35" s="37"/>
      <c r="E35" s="38"/>
      <c r="F35" s="38"/>
      <c r="G35" s="38"/>
      <c r="H35" s="39"/>
    </row>
    <row r="39" spans="2:8" ht="49.5" x14ac:dyDescent="0.2">
      <c r="B39" s="33" t="str">
        <f>UPPER(TEXT(DATE(CalendarYear,10,1),"mmmm yyyy"))</f>
        <v>OCTOBER 2015</v>
      </c>
      <c r="C39" s="33"/>
      <c r="D39" s="33"/>
      <c r="E39" s="33"/>
      <c r="F39" s="33"/>
    </row>
    <row r="40" spans="2:8" s="25" customFormat="1" ht="30" customHeight="1" x14ac:dyDescent="0.2">
      <c r="B40" s="22" t="s">
        <v>6</v>
      </c>
      <c r="C40" s="23" t="s">
        <v>0</v>
      </c>
      <c r="D40" s="23" t="s">
        <v>1</v>
      </c>
      <c r="E40" s="23" t="s">
        <v>2</v>
      </c>
      <c r="F40" s="23" t="s">
        <v>3</v>
      </c>
      <c r="G40" s="23" t="s">
        <v>4</v>
      </c>
      <c r="H40" s="24" t="s">
        <v>5</v>
      </c>
    </row>
    <row r="41" spans="2:8" x14ac:dyDescent="0.2">
      <c r="B41" s="17" t="str">
        <f>IF(DAY(JanSun1)=1,"",IF(AND(YEAR(JanSun1+1)=CalendarYear,MONTH(JanSun1+1)=1),JanSun1+1,""))</f>
        <v/>
      </c>
      <c r="C41" s="17" t="str">
        <f>IF(DAY(JanSun1)=1,"",IF(AND(YEAR(JanSun1+2)=CalendarYear,MONTH(JanSun1+2)=1),JanSun1+2,""))</f>
        <v/>
      </c>
      <c r="D41" s="17" t="str">
        <f>IF(DAY(JanSun1)=1,"",IF(AND(YEAR(JanSun1+3)=CalendarYear,MONTH(JanSun1+3)=1),JanSun1+3,""))</f>
        <v/>
      </c>
      <c r="E41" s="17" t="str">
        <f>IF(DAY(AugSun1)=1,"",IF(AND(YEAR(AugSun1+4)=CalendarYear,MONTH(AugSun1+4)=1),AugSun1+4,""))</f>
        <v/>
      </c>
      <c r="F41" s="17">
        <v>1</v>
      </c>
      <c r="G41" s="17">
        <v>2</v>
      </c>
      <c r="H41" s="17">
        <v>3</v>
      </c>
    </row>
    <row r="42" spans="2:8" ht="55.5" customHeight="1" x14ac:dyDescent="0.2">
      <c r="B42" s="10"/>
      <c r="C42" s="10"/>
      <c r="D42" s="30"/>
      <c r="E42" s="10"/>
      <c r="F42" s="30" t="s">
        <v>19</v>
      </c>
      <c r="G42" s="31" t="s">
        <v>15</v>
      </c>
      <c r="H42" s="27" t="s">
        <v>29</v>
      </c>
    </row>
    <row r="43" spans="2:8" x14ac:dyDescent="0.2">
      <c r="B43" s="18">
        <v>4</v>
      </c>
      <c r="C43" s="18">
        <v>5</v>
      </c>
      <c r="D43" s="18">
        <v>6</v>
      </c>
      <c r="E43" s="18">
        <v>7</v>
      </c>
      <c r="F43" s="18">
        <v>8</v>
      </c>
      <c r="G43" s="18">
        <v>9</v>
      </c>
      <c r="H43" s="18">
        <v>10</v>
      </c>
    </row>
    <row r="44" spans="2:8" ht="55.5" customHeight="1" x14ac:dyDescent="0.2">
      <c r="B44" s="12"/>
      <c r="C44" s="30" t="s">
        <v>18</v>
      </c>
      <c r="D44" s="30" t="s">
        <v>19</v>
      </c>
      <c r="E44" s="30" t="s">
        <v>18</v>
      </c>
      <c r="F44" s="30" t="s">
        <v>19</v>
      </c>
      <c r="G44" s="13"/>
      <c r="H44" s="31" t="s">
        <v>16</v>
      </c>
    </row>
    <row r="45" spans="2:8" x14ac:dyDescent="0.2">
      <c r="B45" s="19">
        <v>11</v>
      </c>
      <c r="C45" s="19">
        <v>12</v>
      </c>
      <c r="D45" s="19">
        <v>13</v>
      </c>
      <c r="E45" s="19">
        <v>14</v>
      </c>
      <c r="F45" s="19">
        <v>15</v>
      </c>
      <c r="G45" s="19">
        <v>16</v>
      </c>
      <c r="H45" s="19">
        <v>17</v>
      </c>
    </row>
    <row r="46" spans="2:8" ht="59.25" customHeight="1" x14ac:dyDescent="0.2">
      <c r="B46" s="10"/>
      <c r="C46" s="30" t="s">
        <v>18</v>
      </c>
      <c r="D46" s="30" t="s">
        <v>19</v>
      </c>
      <c r="E46" s="30" t="s">
        <v>18</v>
      </c>
      <c r="F46" s="30" t="s">
        <v>19</v>
      </c>
      <c r="G46" s="11"/>
      <c r="H46" s="32" t="s">
        <v>30</v>
      </c>
    </row>
    <row r="47" spans="2:8" x14ac:dyDescent="0.2">
      <c r="B47" s="20">
        <v>18</v>
      </c>
      <c r="C47" s="20">
        <v>19</v>
      </c>
      <c r="D47" s="20">
        <v>20</v>
      </c>
      <c r="E47" s="20">
        <v>21</v>
      </c>
      <c r="F47" s="20">
        <v>22</v>
      </c>
      <c r="G47" s="20">
        <v>23</v>
      </c>
      <c r="H47" s="20">
        <v>24</v>
      </c>
    </row>
    <row r="48" spans="2:8" ht="66" customHeight="1" x14ac:dyDescent="0.2">
      <c r="B48" s="30" t="s">
        <v>31</v>
      </c>
      <c r="C48" s="30" t="s">
        <v>18</v>
      </c>
      <c r="D48" s="30" t="s">
        <v>19</v>
      </c>
      <c r="E48" s="30" t="s">
        <v>18</v>
      </c>
      <c r="F48" s="30" t="s">
        <v>19</v>
      </c>
      <c r="G48" s="13"/>
      <c r="H48" s="28" t="s">
        <v>11</v>
      </c>
    </row>
    <row r="49" spans="2:8" x14ac:dyDescent="0.2">
      <c r="B49" s="19">
        <v>25</v>
      </c>
      <c r="C49" s="19">
        <v>26</v>
      </c>
      <c r="D49" s="19">
        <v>27</v>
      </c>
      <c r="E49" s="19">
        <v>28</v>
      </c>
      <c r="F49" s="19">
        <v>29</v>
      </c>
      <c r="G49" s="19">
        <v>30</v>
      </c>
      <c r="H49" s="19">
        <v>31</v>
      </c>
    </row>
    <row r="50" spans="2:8" ht="69" customHeight="1" x14ac:dyDescent="0.2">
      <c r="B50" s="10"/>
      <c r="C50" s="30" t="s">
        <v>22</v>
      </c>
      <c r="D50" s="30" t="s">
        <v>19</v>
      </c>
      <c r="E50" s="30" t="s">
        <v>18</v>
      </c>
      <c r="F50" s="30" t="s">
        <v>19</v>
      </c>
      <c r="G50" s="11"/>
      <c r="H50" s="27" t="s">
        <v>24</v>
      </c>
    </row>
    <row r="51" spans="2:8" x14ac:dyDescent="0.2">
      <c r="B51" s="20"/>
      <c r="C51" s="21"/>
      <c r="D51" s="34" t="s">
        <v>7</v>
      </c>
      <c r="E51" s="35"/>
      <c r="F51" s="35"/>
      <c r="G51" s="35"/>
      <c r="H51" s="36"/>
    </row>
    <row r="52" spans="2:8" ht="55.5" customHeight="1" x14ac:dyDescent="0.2">
      <c r="B52" s="12"/>
      <c r="C52" s="12"/>
      <c r="D52" s="37"/>
      <c r="E52" s="38"/>
      <c r="F52" s="38"/>
      <c r="G52" s="38"/>
      <c r="H52" s="39"/>
    </row>
    <row r="57" spans="2:8" ht="49.5" x14ac:dyDescent="0.2">
      <c r="B57" s="33" t="str">
        <f>UPPER(TEXT(DATE(CalendarYear,11,1),"mmmm yyyy"))</f>
        <v>NOVEMBER 2015</v>
      </c>
      <c r="C57" s="33"/>
      <c r="D57" s="33"/>
      <c r="E57" s="33"/>
      <c r="F57" s="33"/>
    </row>
    <row r="58" spans="2:8" s="25" customFormat="1" ht="30" customHeight="1" x14ac:dyDescent="0.2">
      <c r="B58" s="22" t="s">
        <v>6</v>
      </c>
      <c r="C58" s="23" t="s">
        <v>0</v>
      </c>
      <c r="D58" s="23" t="s">
        <v>1</v>
      </c>
      <c r="E58" s="23" t="s">
        <v>2</v>
      </c>
      <c r="F58" s="23" t="s">
        <v>3</v>
      </c>
      <c r="G58" s="23" t="s">
        <v>4</v>
      </c>
      <c r="H58" s="24" t="s">
        <v>5</v>
      </c>
    </row>
    <row r="59" spans="2:8" x14ac:dyDescent="0.2">
      <c r="B59" s="17">
        <v>1</v>
      </c>
      <c r="C59" s="17">
        <v>2</v>
      </c>
      <c r="D59" s="17">
        <v>3</v>
      </c>
      <c r="E59" s="17">
        <v>4</v>
      </c>
      <c r="F59" s="17">
        <v>5</v>
      </c>
      <c r="G59" s="17">
        <v>6</v>
      </c>
      <c r="H59" s="17">
        <v>7</v>
      </c>
    </row>
    <row r="60" spans="2:8" ht="55.5" customHeight="1" x14ac:dyDescent="0.2">
      <c r="B60" s="10"/>
      <c r="C60" s="30" t="s">
        <v>18</v>
      </c>
      <c r="D60" s="30" t="s">
        <v>19</v>
      </c>
      <c r="E60" s="30" t="s">
        <v>18</v>
      </c>
      <c r="F60" s="30" t="s">
        <v>19</v>
      </c>
      <c r="G60" s="31" t="s">
        <v>15</v>
      </c>
      <c r="H60" s="32" t="s">
        <v>26</v>
      </c>
    </row>
    <row r="61" spans="2:8" x14ac:dyDescent="0.2">
      <c r="B61" s="18">
        <v>8</v>
      </c>
      <c r="C61" s="18">
        <v>9</v>
      </c>
      <c r="D61" s="18">
        <v>10</v>
      </c>
      <c r="E61" s="18">
        <v>11</v>
      </c>
      <c r="F61" s="18">
        <v>12</v>
      </c>
      <c r="G61" s="18">
        <v>13</v>
      </c>
      <c r="H61" s="18">
        <v>14</v>
      </c>
    </row>
    <row r="62" spans="2:8" ht="55.5" customHeight="1" x14ac:dyDescent="0.2">
      <c r="B62" s="12"/>
      <c r="C62" s="30" t="s">
        <v>18</v>
      </c>
      <c r="D62" s="30" t="s">
        <v>19</v>
      </c>
      <c r="E62" s="30" t="s">
        <v>18</v>
      </c>
      <c r="F62" s="30" t="s">
        <v>19</v>
      </c>
      <c r="G62" s="13"/>
      <c r="H62" s="31" t="s">
        <v>16</v>
      </c>
    </row>
    <row r="63" spans="2:8" x14ac:dyDescent="0.2">
      <c r="B63" s="19">
        <v>15</v>
      </c>
      <c r="C63" s="19">
        <v>16</v>
      </c>
      <c r="D63" s="19">
        <v>17</v>
      </c>
      <c r="E63" s="19">
        <v>18</v>
      </c>
      <c r="F63" s="19">
        <v>19</v>
      </c>
      <c r="G63" s="19">
        <v>20</v>
      </c>
      <c r="H63" s="19">
        <v>21</v>
      </c>
    </row>
    <row r="64" spans="2:8" ht="76.5" customHeight="1" x14ac:dyDescent="0.2">
      <c r="B64" s="10"/>
      <c r="C64" s="30" t="s">
        <v>18</v>
      </c>
      <c r="D64" s="30" t="s">
        <v>19</v>
      </c>
      <c r="E64" s="30" t="s">
        <v>18</v>
      </c>
      <c r="F64" s="30" t="s">
        <v>19</v>
      </c>
      <c r="G64" s="11"/>
      <c r="H64" s="32" t="s">
        <v>26</v>
      </c>
    </row>
    <row r="65" spans="2:8" x14ac:dyDescent="0.2">
      <c r="B65" s="20">
        <v>22</v>
      </c>
      <c r="C65" s="20">
        <v>23</v>
      </c>
      <c r="D65" s="20">
        <v>24</v>
      </c>
      <c r="E65" s="20">
        <v>25</v>
      </c>
      <c r="F65" s="20">
        <v>26</v>
      </c>
      <c r="G65" s="20">
        <v>27</v>
      </c>
      <c r="H65" s="20">
        <v>28</v>
      </c>
    </row>
    <row r="66" spans="2:8" ht="55.5" customHeight="1" x14ac:dyDescent="0.2">
      <c r="B66" s="12"/>
      <c r="C66" s="30"/>
      <c r="D66" s="12"/>
      <c r="E66" s="12"/>
      <c r="F66" s="30" t="s">
        <v>14</v>
      </c>
      <c r="G66" s="13"/>
      <c r="H66" s="13"/>
    </row>
    <row r="67" spans="2:8" x14ac:dyDescent="0.2">
      <c r="B67" s="19">
        <v>29</v>
      </c>
      <c r="C67" s="19">
        <v>30</v>
      </c>
      <c r="D67" s="19"/>
      <c r="E67" s="19"/>
      <c r="F67" s="19"/>
      <c r="G67" s="19"/>
      <c r="H67" s="19"/>
    </row>
    <row r="68" spans="2:8" ht="33" customHeight="1" x14ac:dyDescent="0.2">
      <c r="B68" s="10"/>
      <c r="C68" s="10"/>
      <c r="D68" s="10"/>
      <c r="E68" s="10"/>
      <c r="F68" s="10"/>
      <c r="G68" s="11"/>
      <c r="H68" s="11"/>
    </row>
    <row r="69" spans="2:8" x14ac:dyDescent="0.2">
      <c r="B69" s="20"/>
      <c r="C69" s="21"/>
      <c r="D69" s="34" t="s">
        <v>7</v>
      </c>
      <c r="E69" s="35"/>
      <c r="F69" s="35"/>
      <c r="G69" s="35"/>
      <c r="H69" s="36"/>
    </row>
    <row r="70" spans="2:8" ht="55.5" customHeight="1" x14ac:dyDescent="0.2">
      <c r="B70" s="12"/>
      <c r="C70" s="12"/>
      <c r="D70" s="40" t="s">
        <v>13</v>
      </c>
      <c r="E70" s="38"/>
      <c r="F70" s="38"/>
      <c r="G70" s="38"/>
      <c r="H70" s="39"/>
    </row>
    <row r="74" spans="2:8" ht="49.5" x14ac:dyDescent="0.2">
      <c r="B74" s="33" t="str">
        <f>UPPER(TEXT(DATE(CalendarYear,12,1),"mmmm yyyy"))</f>
        <v>DECEMBER 2015</v>
      </c>
      <c r="C74" s="33"/>
      <c r="D74" s="33"/>
      <c r="E74" s="33"/>
      <c r="F74" s="33"/>
    </row>
    <row r="75" spans="2:8" s="25" customFormat="1" ht="30" customHeight="1" x14ac:dyDescent="0.2">
      <c r="B75" s="22" t="s">
        <v>6</v>
      </c>
      <c r="C75" s="23" t="s">
        <v>0</v>
      </c>
      <c r="D75" s="23" t="s">
        <v>1</v>
      </c>
      <c r="E75" s="23" t="s">
        <v>2</v>
      </c>
      <c r="F75" s="23" t="s">
        <v>3</v>
      </c>
      <c r="G75" s="23" t="s">
        <v>4</v>
      </c>
      <c r="H75" s="24" t="s">
        <v>5</v>
      </c>
    </row>
    <row r="76" spans="2:8" x14ac:dyDescent="0.2">
      <c r="B76" s="17" t="str">
        <f>IF(DAY(JanSun1)=1,"",IF(AND(YEAR(JanSun1+1)=CalendarYear,MONTH(JanSun1+1)=1),JanSun1+1,""))</f>
        <v/>
      </c>
      <c r="C76" s="17" t="str">
        <f>IF(DAY(JanSun1)=1,"",IF(AND(YEAR(JanSun1+2)=CalendarYear,MONTH(JanSun1+2)=1),JanSun1+2,""))</f>
        <v/>
      </c>
      <c r="D76" s="17">
        <v>1</v>
      </c>
      <c r="E76" s="17">
        <v>2</v>
      </c>
      <c r="F76" s="17">
        <v>3</v>
      </c>
      <c r="G76" s="17">
        <v>4</v>
      </c>
      <c r="H76" s="17">
        <v>5</v>
      </c>
    </row>
    <row r="77" spans="2:8" ht="65.25" customHeight="1" x14ac:dyDescent="0.2">
      <c r="B77" s="10"/>
      <c r="C77" s="10"/>
      <c r="D77" s="30" t="s">
        <v>19</v>
      </c>
      <c r="E77" s="30" t="s">
        <v>23</v>
      </c>
      <c r="F77" s="30" t="s">
        <v>19</v>
      </c>
      <c r="G77" s="31" t="s">
        <v>15</v>
      </c>
      <c r="H77" s="32" t="s">
        <v>26</v>
      </c>
    </row>
    <row r="78" spans="2:8" x14ac:dyDescent="0.2">
      <c r="B78" s="18">
        <v>6</v>
      </c>
      <c r="C78" s="18">
        <v>7</v>
      </c>
      <c r="D78" s="18">
        <v>8</v>
      </c>
      <c r="E78" s="18">
        <v>9</v>
      </c>
      <c r="F78" s="18">
        <v>10</v>
      </c>
      <c r="G78" s="18">
        <v>11</v>
      </c>
      <c r="H78" s="18">
        <v>12</v>
      </c>
    </row>
    <row r="79" spans="2:8" ht="55.5" customHeight="1" x14ac:dyDescent="0.2">
      <c r="B79" s="29" t="s">
        <v>17</v>
      </c>
      <c r="C79" s="30" t="s">
        <v>18</v>
      </c>
      <c r="D79" s="30" t="s">
        <v>19</v>
      </c>
      <c r="E79" s="30" t="s">
        <v>18</v>
      </c>
      <c r="F79" s="30" t="s">
        <v>19</v>
      </c>
      <c r="G79" s="13"/>
      <c r="H79" s="31" t="s">
        <v>16</v>
      </c>
    </row>
    <row r="80" spans="2:8" x14ac:dyDescent="0.2">
      <c r="B80" s="19">
        <v>13</v>
      </c>
      <c r="C80" s="19">
        <v>14</v>
      </c>
      <c r="D80" s="19">
        <v>15</v>
      </c>
      <c r="E80" s="19">
        <v>16</v>
      </c>
      <c r="F80" s="19">
        <v>17</v>
      </c>
      <c r="G80" s="19">
        <v>18</v>
      </c>
      <c r="H80" s="19">
        <v>19</v>
      </c>
    </row>
    <row r="81" spans="2:8" ht="55.5" customHeight="1" x14ac:dyDescent="0.2">
      <c r="B81" s="10"/>
      <c r="C81" s="30" t="s">
        <v>18</v>
      </c>
      <c r="D81" s="30" t="s">
        <v>19</v>
      </c>
      <c r="E81" s="30" t="s">
        <v>18</v>
      </c>
      <c r="F81" s="30" t="s">
        <v>19</v>
      </c>
      <c r="G81" s="11"/>
      <c r="H81" s="32" t="s">
        <v>26</v>
      </c>
    </row>
    <row r="82" spans="2:8" x14ac:dyDescent="0.2">
      <c r="B82" s="20">
        <v>20</v>
      </c>
      <c r="C82" s="20">
        <v>21</v>
      </c>
      <c r="D82" s="20">
        <v>22</v>
      </c>
      <c r="E82" s="20">
        <v>23</v>
      </c>
      <c r="F82" s="20">
        <v>24</v>
      </c>
      <c r="G82" s="20">
        <v>25</v>
      </c>
      <c r="H82" s="20">
        <v>26</v>
      </c>
    </row>
    <row r="83" spans="2:8" ht="55.5" customHeight="1" x14ac:dyDescent="0.2">
      <c r="B83" s="12"/>
      <c r="C83" s="30"/>
      <c r="D83" s="12"/>
      <c r="E83" s="12"/>
      <c r="F83" s="12"/>
      <c r="G83" s="28" t="s">
        <v>12</v>
      </c>
      <c r="H83" s="13"/>
    </row>
    <row r="84" spans="2:8" x14ac:dyDescent="0.2">
      <c r="B84" s="19">
        <v>27</v>
      </c>
      <c r="C84" s="19">
        <v>28</v>
      </c>
      <c r="D84" s="19">
        <v>29</v>
      </c>
      <c r="E84" s="19">
        <v>30</v>
      </c>
      <c r="F84" s="19"/>
      <c r="G84" s="19"/>
      <c r="H84" s="19"/>
    </row>
    <row r="85" spans="2:8" ht="38.25" customHeight="1" x14ac:dyDescent="0.2">
      <c r="B85" s="10"/>
      <c r="C85" s="10"/>
      <c r="D85" s="10"/>
      <c r="E85" s="10"/>
      <c r="F85" s="10"/>
      <c r="G85" s="11"/>
      <c r="H85" s="11"/>
    </row>
    <row r="86" spans="2:8" x14ac:dyDescent="0.2">
      <c r="B86" s="20"/>
      <c r="C86" s="21"/>
      <c r="D86" s="34" t="s">
        <v>7</v>
      </c>
      <c r="E86" s="35"/>
      <c r="F86" s="35"/>
      <c r="G86" s="35"/>
      <c r="H86" s="36"/>
    </row>
    <row r="87" spans="2:8" ht="44.25" customHeight="1" x14ac:dyDescent="0.2">
      <c r="B87" s="12"/>
      <c r="C87" s="12"/>
      <c r="D87" s="40" t="s">
        <v>13</v>
      </c>
      <c r="E87" s="38"/>
      <c r="F87" s="38"/>
      <c r="G87" s="38"/>
      <c r="H87" s="39"/>
    </row>
  </sheetData>
  <mergeCells count="15">
    <mergeCell ref="B74:F74"/>
    <mergeCell ref="D86:H86"/>
    <mergeCell ref="D87:H87"/>
    <mergeCell ref="D51:H51"/>
    <mergeCell ref="D52:H52"/>
    <mergeCell ref="B57:F57"/>
    <mergeCell ref="D69:H69"/>
    <mergeCell ref="D70:H70"/>
    <mergeCell ref="B3:F3"/>
    <mergeCell ref="B22:F22"/>
    <mergeCell ref="D34:H34"/>
    <mergeCell ref="D35:H35"/>
    <mergeCell ref="B39:F39"/>
    <mergeCell ref="D16:H16"/>
    <mergeCell ref="D15:H15"/>
  </mergeCells>
  <printOptions horizontalCentered="1" verticalCentered="1"/>
  <pageMargins left="0.2" right="0.2" top="0.25" bottom="0.25" header="0" footer="0"/>
  <pageSetup scale="84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12</xdr:col>
                    <xdr:colOff>0</xdr:colOff>
                    <xdr:row>1</xdr:row>
                    <xdr:rowOff>47625</xdr:rowOff>
                  </from>
                  <to>
                    <xdr:col>12</xdr:col>
                    <xdr:colOff>142875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UPPER(TEXT(DATE(CalendarYear,10,1),"mmmm yyyy"))</f>
        <v>OCTOBER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IF(DAY(OctSun1)=1,"",IF(AND(YEAR(OctSun1+1)=CalendarYear,MONTH(OctSun1+1)=10),OctSun1+1,""))</f>
        <v/>
      </c>
      <c r="C5" s="17" t="str">
        <f>IF(DAY(OctSun1)=1,"",IF(AND(YEAR(OctSun1+2)=CalendarYear,MONTH(OctSun1+2)=10),OctSun1+2,""))</f>
        <v/>
      </c>
      <c r="D5" s="17" t="str">
        <f>IF(DAY(OctSun1)=1,"",IF(AND(YEAR(OctSun1+3)=CalendarYear,MONTH(OctSun1+3)=10),OctSun1+3,""))</f>
        <v/>
      </c>
      <c r="E5" s="17">
        <f>IF(DAY(OctSun1)=1,"",IF(AND(YEAR(OctSun1+4)=CalendarYear,MONTH(OctSun1+4)=10),OctSun1+4,""))</f>
        <v>42278</v>
      </c>
      <c r="F5" s="17">
        <f>IF(DAY(OctSun1)=1,"",IF(AND(YEAR(OctSun1+5)=CalendarYear,MONTH(OctSun1+5)=10),OctSun1+5,""))</f>
        <v>42279</v>
      </c>
      <c r="G5" s="17">
        <f>IF(DAY(OctSun1)=1,"",IF(AND(YEAR(OctSun1+6)=CalendarYear,MONTH(OctSun1+6)=10),OctSun1+6,""))</f>
        <v>42280</v>
      </c>
      <c r="H5" s="17">
        <f>IF(DAY(OctSun1)=1,IF(AND(YEAR(OctSun1)=CalendarYear,MONTH(OctSun1)=10),OctSun1,""),IF(AND(YEAR(OctSun1+7)=CalendarYear,MONTH(OctSun1+7)=10),OctSun1+7,""))</f>
        <v>42281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42282</v>
      </c>
      <c r="C7" s="18">
        <f>IF(DAY(OctSun1)=1,IF(AND(YEAR(OctSun1+2)=CalendarYear,MONTH(OctSun1+2)=10),OctSun1+2,""),IF(AND(YEAR(OctSun1+9)=CalendarYear,MONTH(OctSun1+9)=10),OctSun1+9,""))</f>
        <v>42283</v>
      </c>
      <c r="D7" s="18">
        <f>IF(DAY(OctSun1)=1,IF(AND(YEAR(OctSun1+3)=CalendarYear,MONTH(OctSun1+3)=10),OctSun1+3,""),IF(AND(YEAR(OctSun1+10)=CalendarYear,MONTH(OctSun1+10)=10),OctSun1+10,""))</f>
        <v>42284</v>
      </c>
      <c r="E7" s="18">
        <f>IF(DAY(OctSun1)=1,IF(AND(YEAR(OctSun1+4)=CalendarYear,MONTH(OctSun1+4)=10),OctSun1+4,""),IF(AND(YEAR(OctSun1+11)=CalendarYear,MONTH(OctSun1+11)=10),OctSun1+11,""))</f>
        <v>42285</v>
      </c>
      <c r="F7" s="18">
        <f>IF(DAY(OctSun1)=1,IF(AND(YEAR(OctSun1+5)=CalendarYear,MONTH(OctSun1+5)=10),OctSun1+5,""),IF(AND(YEAR(OctSun1+12)=CalendarYear,MONTH(OctSun1+12)=10),OctSun1+12,""))</f>
        <v>42286</v>
      </c>
      <c r="G7" s="18">
        <f>IF(DAY(OctSun1)=1,IF(AND(YEAR(OctSun1+6)=CalendarYear,MONTH(OctSun1+6)=10),OctSun1+6,""),IF(AND(YEAR(OctSun1+13)=CalendarYear,MONTH(OctSun1+13)=10),OctSun1+13,""))</f>
        <v>42287</v>
      </c>
      <c r="H7" s="18">
        <f>IF(DAY(OctSun1)=1,IF(AND(YEAR(OctSun1+7)=CalendarYear,MONTH(OctSun1+7)=10),OctSun1+7,""),IF(AND(YEAR(OctSun1+14)=CalendarYear,MONTH(OctSun1+14)=10),OctSun1+14,""))</f>
        <v>42288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42289</v>
      </c>
      <c r="C9" s="19">
        <f>IF(DAY(OctSun1)=1,IF(AND(YEAR(OctSun1+9)=CalendarYear,MONTH(OctSun1+9)=10),OctSun1+9,""),IF(AND(YEAR(OctSun1+16)=CalendarYear,MONTH(OctSun1+16)=10),OctSun1+16,""))</f>
        <v>42290</v>
      </c>
      <c r="D9" s="19">
        <f>IF(DAY(OctSun1)=1,IF(AND(YEAR(OctSun1+10)=CalendarYear,MONTH(OctSun1+10)=10),OctSun1+10,""),IF(AND(YEAR(OctSun1+17)=CalendarYear,MONTH(OctSun1+17)=10),OctSun1+17,""))</f>
        <v>42291</v>
      </c>
      <c r="E9" s="19">
        <f>IF(DAY(OctSun1)=1,IF(AND(YEAR(OctSun1+11)=CalendarYear,MONTH(OctSun1+11)=10),OctSun1+11,""),IF(AND(YEAR(OctSun1+18)=CalendarYear,MONTH(OctSun1+18)=10),OctSun1+18,""))</f>
        <v>42292</v>
      </c>
      <c r="F9" s="19">
        <f>IF(DAY(OctSun1)=1,IF(AND(YEAR(OctSun1+12)=CalendarYear,MONTH(OctSun1+12)=10),OctSun1+12,""),IF(AND(YEAR(OctSun1+19)=CalendarYear,MONTH(OctSun1+19)=10),OctSun1+19,""))</f>
        <v>42293</v>
      </c>
      <c r="G9" s="19">
        <f>IF(DAY(OctSun1)=1,IF(AND(YEAR(OctSun1+13)=CalendarYear,MONTH(OctSun1+13)=10),OctSun1+13,""),IF(AND(YEAR(OctSun1+20)=CalendarYear,MONTH(OctSun1+20)=10),OctSun1+20,""))</f>
        <v>42294</v>
      </c>
      <c r="H9" s="19">
        <f>IF(DAY(OctSun1)=1,IF(AND(YEAR(OctSun1+14)=CalendarYear,MONTH(OctSun1+14)=10),OctSun1+14,""),IF(AND(YEAR(OctSun1+21)=CalendarYear,MONTH(OctSun1+21)=10),OctSun1+21,""))</f>
        <v>42295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42296</v>
      </c>
      <c r="C11" s="20">
        <f>IF(DAY(OctSun1)=1,IF(AND(YEAR(OctSun1+16)=CalendarYear,MONTH(OctSun1+16)=10),OctSun1+16,""),IF(AND(YEAR(OctSun1+23)=CalendarYear,MONTH(OctSun1+23)=10),OctSun1+23,""))</f>
        <v>42297</v>
      </c>
      <c r="D11" s="20">
        <f>IF(DAY(OctSun1)=1,IF(AND(YEAR(OctSun1+17)=CalendarYear,MONTH(OctSun1+17)=10),OctSun1+17,""),IF(AND(YEAR(OctSun1+24)=CalendarYear,MONTH(OctSun1+24)=10),OctSun1+24,""))</f>
        <v>42298</v>
      </c>
      <c r="E11" s="20">
        <f>IF(DAY(OctSun1)=1,IF(AND(YEAR(OctSun1+18)=CalendarYear,MONTH(OctSun1+18)=10),OctSun1+18,""),IF(AND(YEAR(OctSun1+25)=CalendarYear,MONTH(OctSun1+25)=10),OctSun1+25,""))</f>
        <v>42299</v>
      </c>
      <c r="F11" s="20">
        <f>IF(DAY(OctSun1)=1,IF(AND(YEAR(OctSun1+19)=CalendarYear,MONTH(OctSun1+19)=10),OctSun1+19,""),IF(AND(YEAR(OctSun1+26)=CalendarYear,MONTH(OctSun1+26)=10),OctSun1+26,""))</f>
        <v>42300</v>
      </c>
      <c r="G11" s="20">
        <f>IF(DAY(OctSun1)=1,IF(AND(YEAR(OctSun1+20)=CalendarYear,MONTH(OctSun1+20)=10),OctSun1+20,""),IF(AND(YEAR(OctSun1+27)=CalendarYear,MONTH(OctSun1+27)=10),OctSun1+27,""))</f>
        <v>42301</v>
      </c>
      <c r="H11" s="20">
        <f>IF(DAY(OctSun1)=1,IF(AND(YEAR(OctSun1+21)=CalendarYear,MONTH(OctSun1+21)=10),OctSun1+21,""),IF(AND(YEAR(OctSun1+28)=CalendarYear,MONTH(OctSun1+28)=10),OctSun1+28,""))</f>
        <v>42302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42303</v>
      </c>
      <c r="C13" s="19">
        <f>IF(DAY(OctSun1)=1,IF(AND(YEAR(OctSun1+23)=CalendarYear,MONTH(OctSun1+23)=10),OctSun1+23,""),IF(AND(YEAR(OctSun1+30)=CalendarYear,MONTH(OctSun1+30)=10),OctSun1+30,""))</f>
        <v>42304</v>
      </c>
      <c r="D13" s="19">
        <f>IF(DAY(OctSun1)=1,IF(AND(YEAR(OctSun1+24)=CalendarYear,MONTH(OctSun1+24)=10),OctSun1+24,""),IF(AND(YEAR(OctSun1+31)=CalendarYear,MONTH(OctSun1+31)=10),OctSun1+31,""))</f>
        <v>42305</v>
      </c>
      <c r="E13" s="19">
        <f>IF(DAY(OctSun1)=1,IF(AND(YEAR(OctSun1+25)=CalendarYear,MONTH(OctSun1+25)=10),OctSun1+25,""),IF(AND(YEAR(OctSun1+32)=CalendarYear,MONTH(OctSun1+32)=10),OctSun1+32,""))</f>
        <v>42306</v>
      </c>
      <c r="F13" s="19">
        <f>IF(DAY(OctSun1)=1,IF(AND(YEAR(OctSun1+26)=CalendarYear,MONTH(OctSun1+26)=10),OctSun1+26,""),IF(AND(YEAR(OctSun1+33)=CalendarYear,MONTH(OctSun1+33)=10),OctSun1+33,""))</f>
        <v>42307</v>
      </c>
      <c r="G13" s="19">
        <f>IF(DAY(OctSun1)=1,IF(AND(YEAR(OctSun1+27)=CalendarYear,MONTH(OctSun1+27)=10),OctSun1+27,""),IF(AND(YEAR(OctSun1+34)=CalendarYear,MONTH(OctSun1+34)=10),OctSun1+34,""))</f>
        <v>42308</v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UPPER(TEXT(DATE(CalendarYear,11,1),"mmmm yyyy"))</f>
        <v>NOVEMBER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 t="str">
        <f>IF(DAY(NovSun1)=1,"",IF(AND(YEAR(NovSun1+4)=CalendarYear,MONTH(NovSun1+4)=11),NovSun1+4,""))</f>
        <v/>
      </c>
      <c r="F5" s="17" t="str">
        <f>IF(DAY(NovSun1)=1,"",IF(AND(YEAR(NovSun1+5)=CalendarYear,MONTH(NovSun1+5)=11),NovSun1+5,""))</f>
        <v/>
      </c>
      <c r="G5" s="17" t="str">
        <f>IF(DAY(NovSun1)=1,"",IF(AND(YEAR(NovSun1+6)=CalendarYear,MONTH(NovSun1+6)=11),NovSun1+6,""))</f>
        <v/>
      </c>
      <c r="H5" s="17">
        <f>IF(DAY(NovSun1)=1,IF(AND(YEAR(NovSun1)=CalendarYear,MONTH(NovSun1)=11),NovSun1,""),IF(AND(YEAR(NovSun1+7)=CalendarYear,MONTH(NovSun1+7)=11),NovSun1+7,""))</f>
        <v>42309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42310</v>
      </c>
      <c r="C7" s="18">
        <f>IF(DAY(NovSun1)=1,IF(AND(YEAR(NovSun1+2)=CalendarYear,MONTH(NovSun1+2)=11),NovSun1+2,""),IF(AND(YEAR(NovSun1+9)=CalendarYear,MONTH(NovSun1+9)=11),NovSun1+9,""))</f>
        <v>42311</v>
      </c>
      <c r="D7" s="18">
        <f>IF(DAY(NovSun1)=1,IF(AND(YEAR(NovSun1+3)=CalendarYear,MONTH(NovSun1+3)=11),NovSun1+3,""),IF(AND(YEAR(NovSun1+10)=CalendarYear,MONTH(NovSun1+10)=11),NovSun1+10,""))</f>
        <v>42312</v>
      </c>
      <c r="E7" s="18">
        <f>IF(DAY(NovSun1)=1,IF(AND(YEAR(NovSun1+4)=CalendarYear,MONTH(NovSun1+4)=11),NovSun1+4,""),IF(AND(YEAR(NovSun1+11)=CalendarYear,MONTH(NovSun1+11)=11),NovSun1+11,""))</f>
        <v>42313</v>
      </c>
      <c r="F7" s="18">
        <f>IF(DAY(NovSun1)=1,IF(AND(YEAR(NovSun1+5)=CalendarYear,MONTH(NovSun1+5)=11),NovSun1+5,""),IF(AND(YEAR(NovSun1+12)=CalendarYear,MONTH(NovSun1+12)=11),NovSun1+12,""))</f>
        <v>42314</v>
      </c>
      <c r="G7" s="18">
        <f>IF(DAY(NovSun1)=1,IF(AND(YEAR(NovSun1+6)=CalendarYear,MONTH(NovSun1+6)=11),NovSun1+6,""),IF(AND(YEAR(NovSun1+13)=CalendarYear,MONTH(NovSun1+13)=11),NovSun1+13,""))</f>
        <v>42315</v>
      </c>
      <c r="H7" s="18">
        <f>IF(DAY(NovSun1)=1,IF(AND(YEAR(NovSun1+7)=CalendarYear,MONTH(NovSun1+7)=11),NovSun1+7,""),IF(AND(YEAR(NovSun1+14)=CalendarYear,MONTH(NovSun1+14)=11),NovSun1+14,""))</f>
        <v>42316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42317</v>
      </c>
      <c r="C9" s="19">
        <f>IF(DAY(NovSun1)=1,IF(AND(YEAR(NovSun1+9)=CalendarYear,MONTH(NovSun1+9)=11),NovSun1+9,""),IF(AND(YEAR(NovSun1+16)=CalendarYear,MONTH(NovSun1+16)=11),NovSun1+16,""))</f>
        <v>42318</v>
      </c>
      <c r="D9" s="19">
        <f>IF(DAY(NovSun1)=1,IF(AND(YEAR(NovSun1+10)=CalendarYear,MONTH(NovSun1+10)=11),NovSun1+10,""),IF(AND(YEAR(NovSun1+17)=CalendarYear,MONTH(NovSun1+17)=11),NovSun1+17,""))</f>
        <v>42319</v>
      </c>
      <c r="E9" s="19">
        <f>IF(DAY(NovSun1)=1,IF(AND(YEAR(NovSun1+11)=CalendarYear,MONTH(NovSun1+11)=11),NovSun1+11,""),IF(AND(YEAR(NovSun1+18)=CalendarYear,MONTH(NovSun1+18)=11),NovSun1+18,""))</f>
        <v>42320</v>
      </c>
      <c r="F9" s="19">
        <f>IF(DAY(NovSun1)=1,IF(AND(YEAR(NovSun1+12)=CalendarYear,MONTH(NovSun1+12)=11),NovSun1+12,""),IF(AND(YEAR(NovSun1+19)=CalendarYear,MONTH(NovSun1+19)=11),NovSun1+19,""))</f>
        <v>42321</v>
      </c>
      <c r="G9" s="19">
        <f>IF(DAY(NovSun1)=1,IF(AND(YEAR(NovSun1+13)=CalendarYear,MONTH(NovSun1+13)=11),NovSun1+13,""),IF(AND(YEAR(NovSun1+20)=CalendarYear,MONTH(NovSun1+20)=11),NovSun1+20,""))</f>
        <v>42322</v>
      </c>
      <c r="H9" s="19">
        <f>IF(DAY(NovSun1)=1,IF(AND(YEAR(NovSun1+14)=CalendarYear,MONTH(NovSun1+14)=11),NovSun1+14,""),IF(AND(YEAR(NovSun1+21)=CalendarYear,MONTH(NovSun1+21)=11),NovSun1+21,""))</f>
        <v>42323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42324</v>
      </c>
      <c r="C11" s="20">
        <f>IF(DAY(NovSun1)=1,IF(AND(YEAR(NovSun1+16)=CalendarYear,MONTH(NovSun1+16)=11),NovSun1+16,""),IF(AND(YEAR(NovSun1+23)=CalendarYear,MONTH(NovSun1+23)=11),NovSun1+23,""))</f>
        <v>42325</v>
      </c>
      <c r="D11" s="20">
        <f>IF(DAY(NovSun1)=1,IF(AND(YEAR(NovSun1+17)=CalendarYear,MONTH(NovSun1+17)=11),NovSun1+17,""),IF(AND(YEAR(NovSun1+24)=CalendarYear,MONTH(NovSun1+24)=11),NovSun1+24,""))</f>
        <v>42326</v>
      </c>
      <c r="E11" s="20">
        <f>IF(DAY(NovSun1)=1,IF(AND(YEAR(NovSun1+18)=CalendarYear,MONTH(NovSun1+18)=11),NovSun1+18,""),IF(AND(YEAR(NovSun1+25)=CalendarYear,MONTH(NovSun1+25)=11),NovSun1+25,""))</f>
        <v>42327</v>
      </c>
      <c r="F11" s="20">
        <f>IF(DAY(NovSun1)=1,IF(AND(YEAR(NovSun1+19)=CalendarYear,MONTH(NovSun1+19)=11),NovSun1+19,""),IF(AND(YEAR(NovSun1+26)=CalendarYear,MONTH(NovSun1+26)=11),NovSun1+26,""))</f>
        <v>42328</v>
      </c>
      <c r="G11" s="20">
        <f>IF(DAY(NovSun1)=1,IF(AND(YEAR(NovSun1+20)=CalendarYear,MONTH(NovSun1+20)=11),NovSun1+20,""),IF(AND(YEAR(NovSun1+27)=CalendarYear,MONTH(NovSun1+27)=11),NovSun1+27,""))</f>
        <v>42329</v>
      </c>
      <c r="H11" s="20">
        <f>IF(DAY(NovSun1)=1,IF(AND(YEAR(NovSun1+21)=CalendarYear,MONTH(NovSun1+21)=11),NovSun1+21,""),IF(AND(YEAR(NovSun1+28)=CalendarYear,MONTH(NovSun1+28)=11),NovSun1+28,""))</f>
        <v>42330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42331</v>
      </c>
      <c r="C13" s="19">
        <f>IF(DAY(NovSun1)=1,IF(AND(YEAR(NovSun1+23)=CalendarYear,MONTH(NovSun1+23)=11),NovSun1+23,""),IF(AND(YEAR(NovSun1+30)=CalendarYear,MONTH(NovSun1+30)=11),NovSun1+30,""))</f>
        <v>42332</v>
      </c>
      <c r="D13" s="19">
        <f>IF(DAY(NovSun1)=1,IF(AND(YEAR(NovSun1+24)=CalendarYear,MONTH(NovSun1+24)=11),NovSun1+24,""),IF(AND(YEAR(NovSun1+31)=CalendarYear,MONTH(NovSun1+31)=11),NovSun1+31,""))</f>
        <v>42333</v>
      </c>
      <c r="E13" s="19">
        <f>IF(DAY(NovSun1)=1,IF(AND(YEAR(NovSun1+25)=CalendarYear,MONTH(NovSun1+25)=11),NovSun1+25,""),IF(AND(YEAR(NovSun1+32)=CalendarYear,MONTH(NovSun1+32)=11),NovSun1+32,""))</f>
        <v>42334</v>
      </c>
      <c r="F13" s="19">
        <f>IF(DAY(NovSun1)=1,IF(AND(YEAR(NovSun1+26)=CalendarYear,MONTH(NovSun1+26)=11),NovSun1+26,""),IF(AND(YEAR(NovSun1+33)=CalendarYear,MONTH(NovSun1+33)=11),NovSun1+33,""))</f>
        <v>42335</v>
      </c>
      <c r="G13" s="19">
        <f>IF(DAY(NovSun1)=1,IF(AND(YEAR(NovSun1+27)=CalendarYear,MONTH(NovSun1+27)=11),NovSun1+27,""),IF(AND(YEAR(NovSun1+34)=CalendarYear,MONTH(NovSun1+34)=11),NovSun1+34,""))</f>
        <v>42336</v>
      </c>
      <c r="H13" s="19">
        <f>IF(DAY(NovSun1)=1,IF(AND(YEAR(NovSun1+28)=CalendarYear,MONTH(NovSun1+28)=11),NovSun1+28,""),IF(AND(YEAR(NovSun1+35)=CalendarYear,MONTH(NovSun1+35)=11),NovSun1+35,""))</f>
        <v>42337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IF(DAY(NovSun1)=1,IF(AND(YEAR(NovSun1+29)=CalendarYear,MONTH(NovSun1+29)=11),NovSun1+29,""),IF(AND(YEAR(NovSun1+36)=CalendarYear,MONTH(NovSun1+36)=11),NovSun1+36,""))</f>
        <v>42338</v>
      </c>
      <c r="C15" s="21" t="str">
        <f>IF(DAY(NovSun1)=1,IF(AND(YEAR(NovSun1+30)=CalendarYear,MONTH(NovSun1+30)=11),NovSun1+30,""),IF(AND(YEAR(NovSun1+37)=CalendarYear,MONTH(NovSun1+37)=11),NovSun1+37,""))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UPPER(TEXT(DATE(CalendarYear,12,1),"mmmm yyyy"))</f>
        <v>DECEMBER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>
        <f>IF(DAY(DecSun1)=1,"",IF(AND(YEAR(DecSun1+2)=CalendarYear,MONTH(DecSun1+2)=12),DecSun1+2,""))</f>
        <v>42339</v>
      </c>
      <c r="D5" s="17">
        <f>IF(DAY(DecSun1)=1,"",IF(AND(YEAR(DecSun1+3)=CalendarYear,MONTH(DecSun1+3)=12),DecSun1+3,""))</f>
        <v>42340</v>
      </c>
      <c r="E5" s="17">
        <f>IF(DAY(DecSun1)=1,"",IF(AND(YEAR(DecSun1+4)=CalendarYear,MONTH(DecSun1+4)=12),DecSun1+4,""))</f>
        <v>42341</v>
      </c>
      <c r="F5" s="17">
        <f>IF(DAY(DecSun1)=1,"",IF(AND(YEAR(DecSun1+5)=CalendarYear,MONTH(DecSun1+5)=12),DecSun1+5,""))</f>
        <v>42342</v>
      </c>
      <c r="G5" s="17">
        <f>IF(DAY(DecSun1)=1,"",IF(AND(YEAR(DecSun1+6)=CalendarYear,MONTH(DecSun1+6)=12),DecSun1+6,""))</f>
        <v>42343</v>
      </c>
      <c r="H5" s="17">
        <f>IF(DAY(DecSun1)=1,IF(AND(YEAR(DecSun1)=CalendarYear,MONTH(DecSun1)=12),DecSun1,""),IF(AND(YEAR(DecSun1+7)=CalendarYear,MONTH(DecSun1+7)=12),DecSun1+7,""))</f>
        <v>42344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42345</v>
      </c>
      <c r="C7" s="18">
        <f>IF(DAY(DecSun1)=1,IF(AND(YEAR(DecSun1+2)=CalendarYear,MONTH(DecSun1+2)=12),DecSun1+2,""),IF(AND(YEAR(DecSun1+9)=CalendarYear,MONTH(DecSun1+9)=12),DecSun1+9,""))</f>
        <v>42346</v>
      </c>
      <c r="D7" s="18">
        <f>IF(DAY(DecSun1)=1,IF(AND(YEAR(DecSun1+3)=CalendarYear,MONTH(DecSun1+3)=12),DecSun1+3,""),IF(AND(YEAR(DecSun1+10)=CalendarYear,MONTH(DecSun1+10)=12),DecSun1+10,""))</f>
        <v>42347</v>
      </c>
      <c r="E7" s="18">
        <f>IF(DAY(DecSun1)=1,IF(AND(YEAR(DecSun1+4)=CalendarYear,MONTH(DecSun1+4)=12),DecSun1+4,""),IF(AND(YEAR(DecSun1+11)=CalendarYear,MONTH(DecSun1+11)=12),DecSun1+11,""))</f>
        <v>42348</v>
      </c>
      <c r="F7" s="18">
        <f>IF(DAY(DecSun1)=1,IF(AND(YEAR(DecSun1+5)=CalendarYear,MONTH(DecSun1+5)=12),DecSun1+5,""),IF(AND(YEAR(DecSun1+12)=CalendarYear,MONTH(DecSun1+12)=12),DecSun1+12,""))</f>
        <v>42349</v>
      </c>
      <c r="G7" s="18">
        <f>IF(DAY(DecSun1)=1,IF(AND(YEAR(DecSun1+6)=CalendarYear,MONTH(DecSun1+6)=12),DecSun1+6,""),IF(AND(YEAR(DecSun1+13)=CalendarYear,MONTH(DecSun1+13)=12),DecSun1+13,""))</f>
        <v>42350</v>
      </c>
      <c r="H7" s="18">
        <f>IF(DAY(DecSun1)=1,IF(AND(YEAR(DecSun1+7)=CalendarYear,MONTH(DecSun1+7)=12),DecSun1+7,""),IF(AND(YEAR(DecSun1+14)=CalendarYear,MONTH(DecSun1+14)=12),DecSun1+14,""))</f>
        <v>42351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42352</v>
      </c>
      <c r="C9" s="19">
        <f>IF(DAY(DecSun1)=1,IF(AND(YEAR(DecSun1+9)=CalendarYear,MONTH(DecSun1+9)=12),DecSun1+9,""),IF(AND(YEAR(DecSun1+16)=CalendarYear,MONTH(DecSun1+16)=12),DecSun1+16,""))</f>
        <v>42353</v>
      </c>
      <c r="D9" s="19">
        <f>IF(DAY(DecSun1)=1,IF(AND(YEAR(DecSun1+10)=CalendarYear,MONTH(DecSun1+10)=12),DecSun1+10,""),IF(AND(YEAR(DecSun1+17)=CalendarYear,MONTH(DecSun1+17)=12),DecSun1+17,""))</f>
        <v>42354</v>
      </c>
      <c r="E9" s="19">
        <f>IF(DAY(DecSun1)=1,IF(AND(YEAR(DecSun1+11)=CalendarYear,MONTH(DecSun1+11)=12),DecSun1+11,""),IF(AND(YEAR(DecSun1+18)=CalendarYear,MONTH(DecSun1+18)=12),DecSun1+18,""))</f>
        <v>42355</v>
      </c>
      <c r="F9" s="19">
        <f>IF(DAY(DecSun1)=1,IF(AND(YEAR(DecSun1+12)=CalendarYear,MONTH(DecSun1+12)=12),DecSun1+12,""),IF(AND(YEAR(DecSun1+19)=CalendarYear,MONTH(DecSun1+19)=12),DecSun1+19,""))</f>
        <v>42356</v>
      </c>
      <c r="G9" s="19">
        <f>IF(DAY(DecSun1)=1,IF(AND(YEAR(DecSun1+13)=CalendarYear,MONTH(DecSun1+13)=12),DecSun1+13,""),IF(AND(YEAR(DecSun1+20)=CalendarYear,MONTH(DecSun1+20)=12),DecSun1+20,""))</f>
        <v>42357</v>
      </c>
      <c r="H9" s="19">
        <f>IF(DAY(DecSun1)=1,IF(AND(YEAR(DecSun1+14)=CalendarYear,MONTH(DecSun1+14)=12),DecSun1+14,""),IF(AND(YEAR(DecSun1+21)=CalendarYear,MONTH(DecSun1+21)=12),DecSun1+21,""))</f>
        <v>42358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42359</v>
      </c>
      <c r="C11" s="20">
        <f>IF(DAY(DecSun1)=1,IF(AND(YEAR(DecSun1+16)=CalendarYear,MONTH(DecSun1+16)=12),DecSun1+16,""),IF(AND(YEAR(DecSun1+23)=CalendarYear,MONTH(DecSun1+23)=12),DecSun1+23,""))</f>
        <v>42360</v>
      </c>
      <c r="D11" s="20">
        <f>IF(DAY(DecSun1)=1,IF(AND(YEAR(DecSun1+17)=CalendarYear,MONTH(DecSun1+17)=12),DecSun1+17,""),IF(AND(YEAR(DecSun1+24)=CalendarYear,MONTH(DecSun1+24)=12),DecSun1+24,""))</f>
        <v>42361</v>
      </c>
      <c r="E11" s="20">
        <f>IF(DAY(DecSun1)=1,IF(AND(YEAR(DecSun1+18)=CalendarYear,MONTH(DecSun1+18)=12),DecSun1+18,""),IF(AND(YEAR(DecSun1+25)=CalendarYear,MONTH(DecSun1+25)=12),DecSun1+25,""))</f>
        <v>42362</v>
      </c>
      <c r="F11" s="20">
        <f>IF(DAY(DecSun1)=1,IF(AND(YEAR(DecSun1+19)=CalendarYear,MONTH(DecSun1+19)=12),DecSun1+19,""),IF(AND(YEAR(DecSun1+26)=CalendarYear,MONTH(DecSun1+26)=12),DecSun1+26,""))</f>
        <v>42363</v>
      </c>
      <c r="G11" s="20">
        <f>IF(DAY(DecSun1)=1,IF(AND(YEAR(DecSun1+20)=CalendarYear,MONTH(DecSun1+20)=12),DecSun1+20,""),IF(AND(YEAR(DecSun1+27)=CalendarYear,MONTH(DecSun1+27)=12),DecSun1+27,""))</f>
        <v>42364</v>
      </c>
      <c r="H11" s="20">
        <f>IF(DAY(DecSun1)=1,IF(AND(YEAR(DecSun1+21)=CalendarYear,MONTH(DecSun1+21)=12),DecSun1+21,""),IF(AND(YEAR(DecSun1+28)=CalendarYear,MONTH(DecSun1+28)=12),DecSun1+28,""))</f>
        <v>42365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42366</v>
      </c>
      <c r="C13" s="19">
        <f>IF(DAY(DecSun1)=1,IF(AND(YEAR(DecSun1+23)=CalendarYear,MONTH(DecSun1+23)=12),DecSun1+23,""),IF(AND(YEAR(DecSun1+30)=CalendarYear,MONTH(DecSun1+30)=12),DecSun1+30,""))</f>
        <v>42367</v>
      </c>
      <c r="D13" s="19">
        <f>IF(DAY(DecSun1)=1,IF(AND(YEAR(DecSun1+24)=CalendarYear,MONTH(DecSun1+24)=12),DecSun1+24,""),IF(AND(YEAR(DecSun1+31)=CalendarYear,MONTH(DecSun1+31)=12),DecSun1+31,""))</f>
        <v>42368</v>
      </c>
      <c r="E13" s="19">
        <f>IF(DAY(DecSun1)=1,IF(AND(YEAR(DecSun1+25)=CalendarYear,MONTH(DecSun1+25)=12),DecSun1+25,""),IF(AND(YEAR(DecSun1+32)=CalendarYear,MONTH(DecSun1+32)=12),DecSun1+32,""))</f>
        <v>42369</v>
      </c>
      <c r="F13" s="19" t="str">
        <f>IF(DAY(DecSun1)=1,IF(AND(YEAR(DecSun1+26)=CalendarYear,MONTH(DecSun1+26)=12),DecSun1+26,""),IF(AND(YEAR(DecSun1+33)=CalendarYear,MONTH(DecSun1+33)=12),DecSun1+33,""))</f>
        <v/>
      </c>
      <c r="G13" s="19" t="str">
        <f>IF(DAY(DecSun1)=1,IF(AND(YEAR(DecSun1+27)=CalendarYear,MONTH(DecSun1+27)=12),DecSun1+27,""),IF(AND(YEAR(DecSun1+34)=CalendarYear,MONTH(DecSun1+34)=12),DecSun1+34,""))</f>
        <v/>
      </c>
      <c r="H13" s="19" t="str">
        <f>IF(DAY(DecSun1)=1,IF(AND(YEAR(DecSun1+28)=CalendarYear,MONTH(DecSun1+28)=12),DecSun1+28,""),IF(AND(YEAR(DecSun1+35)=CalendarYear,MONTH(DecSun1+35)=12),DecSun1+35,""))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IF(DAY(DecSun1)=1,IF(AND(YEAR(DecSun1+29)=CalendarYear,MONTH(DecSun1+29)=12),DecSun1+29,""),IF(AND(YEAR(DecSun1+36)=CalendarYear,MONTH(DecSun1+36)=12),DecSun1+36,""))</f>
        <v/>
      </c>
      <c r="C15" s="21" t="str">
        <f>IF(DAY(DecSun1)=1,IF(AND(YEAR(DecSun1+30)=CalendarYear,MONTH(DecSun1+30)=12),DecSun1+30,""),IF(AND(YEAR(DecSun1+37)=CalendarYear,MONTH(DecSun1+37)=12),DecSun1+37,""))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UPPER(TEXT(DATE(CalendarYear,2,1),"mmmm yyyy"))</f>
        <v>FEBRUARY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 t="str">
        <f>IF(DAY(FebSun1)=1,"",IF(AND(YEAR(FebSun1+3)=CalendarYear,MONTH(FebSun1+3)=2),FebSun1+3,""))</f>
        <v/>
      </c>
      <c r="E5" s="17" t="str">
        <f>IF(DAY(FebSun1)=1,"",IF(AND(YEAR(FebSun1+4)=CalendarYear,MONTH(FebSun1+4)=2),FebSun1+4,""))</f>
        <v/>
      </c>
      <c r="F5" s="17" t="str">
        <f>IF(DAY(FebSun1)=1,"",IF(AND(YEAR(FebSun1+5)=CalendarYear,MONTH(FebSun1+5)=2),FebSun1+5,""))</f>
        <v/>
      </c>
      <c r="G5" s="17" t="str">
        <f>IF(DAY(FebSun1)=1,"",IF(AND(YEAR(FebSun1+6)=CalendarYear,MONTH(FebSun1+6)=2),FebSun1+6,""))</f>
        <v/>
      </c>
      <c r="H5" s="17">
        <f>IF(DAY(FebSun1)=1,IF(AND(YEAR(FebSun1)=CalendarYear,MONTH(FebSun1)=2),FebSun1,""),IF(AND(YEAR(FebSun1+7)=CalendarYear,MONTH(FebSun1+7)=2),FebSun1+7,""))</f>
        <v>42036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42037</v>
      </c>
      <c r="C7" s="18">
        <f>IF(DAY(FebSun1)=1,IF(AND(YEAR(FebSun1+2)=CalendarYear,MONTH(FebSun1+2)=2),FebSun1+2,""),IF(AND(YEAR(FebSun1+9)=CalendarYear,MONTH(FebSun1+9)=2),FebSun1+9,""))</f>
        <v>42038</v>
      </c>
      <c r="D7" s="18">
        <f>IF(DAY(FebSun1)=1,IF(AND(YEAR(FebSun1+3)=CalendarYear,MONTH(FebSun1+3)=2),FebSun1+3,""),IF(AND(YEAR(FebSun1+10)=CalendarYear,MONTH(FebSun1+10)=2),FebSun1+10,""))</f>
        <v>42039</v>
      </c>
      <c r="E7" s="18">
        <f>IF(DAY(FebSun1)=1,IF(AND(YEAR(FebSun1+4)=CalendarYear,MONTH(FebSun1+4)=2),FebSun1+4,""),IF(AND(YEAR(FebSun1+11)=CalendarYear,MONTH(FebSun1+11)=2),FebSun1+11,""))</f>
        <v>42040</v>
      </c>
      <c r="F7" s="18">
        <f>IF(DAY(FebSun1)=1,IF(AND(YEAR(FebSun1+5)=CalendarYear,MONTH(FebSun1+5)=2),FebSun1+5,""),IF(AND(YEAR(FebSun1+12)=CalendarYear,MONTH(FebSun1+12)=2),FebSun1+12,""))</f>
        <v>42041</v>
      </c>
      <c r="G7" s="18">
        <f>IF(DAY(FebSun1)=1,IF(AND(YEAR(FebSun1+6)=CalendarYear,MONTH(FebSun1+6)=2),FebSun1+6,""),IF(AND(YEAR(FebSun1+13)=CalendarYear,MONTH(FebSun1+13)=2),FebSun1+13,""))</f>
        <v>42042</v>
      </c>
      <c r="H7" s="18">
        <f>IF(DAY(FebSun1)=1,IF(AND(YEAR(FebSun1+7)=CalendarYear,MONTH(FebSun1+7)=2),FebSun1+7,""),IF(AND(YEAR(FebSun1+14)=CalendarYear,MONTH(FebSun1+14)=2),FebSun1+14,""))</f>
        <v>42043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42044</v>
      </c>
      <c r="C9" s="19">
        <f>IF(DAY(FebSun1)=1,IF(AND(YEAR(FebSun1+9)=CalendarYear,MONTH(FebSun1+9)=2),FebSun1+9,""),IF(AND(YEAR(FebSun1+16)=CalendarYear,MONTH(FebSun1+16)=2),FebSun1+16,""))</f>
        <v>42045</v>
      </c>
      <c r="D9" s="19">
        <f>IF(DAY(FebSun1)=1,IF(AND(YEAR(FebSun1+10)=CalendarYear,MONTH(FebSun1+10)=2),FebSun1+10,""),IF(AND(YEAR(FebSun1+17)=CalendarYear,MONTH(FebSun1+17)=2),FebSun1+17,""))</f>
        <v>42046</v>
      </c>
      <c r="E9" s="19">
        <f>IF(DAY(FebSun1)=1,IF(AND(YEAR(FebSun1+11)=CalendarYear,MONTH(FebSun1+11)=2),FebSun1+11,""),IF(AND(YEAR(FebSun1+18)=CalendarYear,MONTH(FebSun1+18)=2),FebSun1+18,""))</f>
        <v>42047</v>
      </c>
      <c r="F9" s="19">
        <f>IF(DAY(FebSun1)=1,IF(AND(YEAR(FebSun1+12)=CalendarYear,MONTH(FebSun1+12)=2),FebSun1+12,""),IF(AND(YEAR(FebSun1+19)=CalendarYear,MONTH(FebSun1+19)=2),FebSun1+19,""))</f>
        <v>42048</v>
      </c>
      <c r="G9" s="19">
        <f>IF(DAY(FebSun1)=1,IF(AND(YEAR(FebSun1+13)=CalendarYear,MONTH(FebSun1+13)=2),FebSun1+13,""),IF(AND(YEAR(FebSun1+20)=CalendarYear,MONTH(FebSun1+20)=2),FebSun1+20,""))</f>
        <v>42049</v>
      </c>
      <c r="H9" s="19">
        <f>IF(DAY(FebSun1)=1,IF(AND(YEAR(FebSun1+14)=CalendarYear,MONTH(FebSun1+14)=2),FebSun1+14,""),IF(AND(YEAR(FebSun1+21)=CalendarYear,MONTH(FebSun1+21)=2),FebSun1+21,""))</f>
        <v>42050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42051</v>
      </c>
      <c r="C11" s="20">
        <f>IF(DAY(FebSun1)=1,IF(AND(YEAR(FebSun1+16)=CalendarYear,MONTH(FebSun1+16)=2),FebSun1+16,""),IF(AND(YEAR(FebSun1+23)=CalendarYear,MONTH(FebSun1+23)=2),FebSun1+23,""))</f>
        <v>42052</v>
      </c>
      <c r="D11" s="20">
        <f>IF(DAY(FebSun1)=1,IF(AND(YEAR(FebSun1+17)=CalendarYear,MONTH(FebSun1+17)=2),FebSun1+17,""),IF(AND(YEAR(FebSun1+24)=CalendarYear,MONTH(FebSun1+24)=2),FebSun1+24,""))</f>
        <v>42053</v>
      </c>
      <c r="E11" s="20">
        <f>IF(DAY(FebSun1)=1,IF(AND(YEAR(FebSun1+18)=CalendarYear,MONTH(FebSun1+18)=2),FebSun1+18,""),IF(AND(YEAR(FebSun1+25)=CalendarYear,MONTH(FebSun1+25)=2),FebSun1+25,""))</f>
        <v>42054</v>
      </c>
      <c r="F11" s="20">
        <f>IF(DAY(FebSun1)=1,IF(AND(YEAR(FebSun1+19)=CalendarYear,MONTH(FebSun1+19)=2),FebSun1+19,""),IF(AND(YEAR(FebSun1+26)=CalendarYear,MONTH(FebSun1+26)=2),FebSun1+26,""))</f>
        <v>42055</v>
      </c>
      <c r="G11" s="20">
        <f>IF(DAY(FebSun1)=1,IF(AND(YEAR(FebSun1+20)=CalendarYear,MONTH(FebSun1+20)=2),FebSun1+20,""),IF(AND(YEAR(FebSun1+27)=CalendarYear,MONTH(FebSun1+27)=2),FebSun1+27,""))</f>
        <v>42056</v>
      </c>
      <c r="H11" s="20">
        <f>IF(DAY(FebSun1)=1,IF(AND(YEAR(FebSun1+21)=CalendarYear,MONTH(FebSun1+21)=2),FebSun1+21,""),IF(AND(YEAR(FebSun1+28)=CalendarYear,MONTH(FebSun1+28)=2),FebSun1+28,""))</f>
        <v>42057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42058</v>
      </c>
      <c r="C13" s="19">
        <f>IF(DAY(FebSun1)=1,IF(AND(YEAR(FebSun1+23)=CalendarYear,MONTH(FebSun1+23)=2),FebSun1+23,""),IF(AND(YEAR(FebSun1+30)=CalendarYear,MONTH(FebSun1+30)=2),FebSun1+30,""))</f>
        <v>42059</v>
      </c>
      <c r="D13" s="19">
        <f>IF(DAY(FebSun1)=1,IF(AND(YEAR(FebSun1+24)=CalendarYear,MONTH(FebSun1+24)=2),FebSun1+24,""),IF(AND(YEAR(FebSun1+31)=CalendarYear,MONTH(FebSun1+31)=2),FebSun1+31,""))</f>
        <v>42060</v>
      </c>
      <c r="E13" s="19">
        <f>IF(DAY(FebSun1)=1,IF(AND(YEAR(FebSun1+25)=CalendarYear,MONTH(FebSun1+25)=2),FebSun1+25,""),IF(AND(YEAR(FebSun1+32)=CalendarYear,MONTH(FebSun1+32)=2),FebSun1+32,""))</f>
        <v>42061</v>
      </c>
      <c r="F13" s="19">
        <f>IF(DAY(FebSun1)=1,IF(AND(YEAR(FebSun1+26)=CalendarYear,MONTH(FebSun1+26)=2),FebSun1+26,""),IF(AND(YEAR(FebSun1+33)=CalendarYear,MONTH(FebSun1+33)=2),FebSun1+33,""))</f>
        <v>42062</v>
      </c>
      <c r="G13" s="19">
        <f>IF(DAY(FebSun1)=1,IF(AND(YEAR(FebSun1+27)=CalendarYear,MONTH(FebSun1+27)=2),FebSun1+27,""),IF(AND(YEAR(FebSun1+34)=CalendarYear,MONTH(FebSun1+34)=2),FebSun1+34,""))</f>
        <v>42063</v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UPPER(TEXT(DATE(CalendarYear,3,1),"mmmm yyyy"))</f>
        <v>MARCH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 t="str">
        <f>IF(DAY(MarSun1)=1,"",IF(AND(YEAR(MarSun1+4)=CalendarYear,MONTH(MarSun1+4)=3),MarSun1+4,""))</f>
        <v/>
      </c>
      <c r="F5" s="17" t="str">
        <f>IF(DAY(MarSun1)=1,"",IF(AND(YEAR(MarSun1+5)=CalendarYear,MONTH(MarSun1+5)=3),MarSun1+5,""))</f>
        <v/>
      </c>
      <c r="G5" s="17" t="str">
        <f>IF(DAY(MarSun1)=1,"",IF(AND(YEAR(MarSun1+6)=CalendarYear,MONTH(MarSun1+6)=3),MarSun1+6,""))</f>
        <v/>
      </c>
      <c r="H5" s="17">
        <f>IF(DAY(MarSun1)=1,IF(AND(YEAR(MarSun1)=CalendarYear,MONTH(MarSun1)=3),MarSun1,""),IF(AND(YEAR(MarSun1+7)=CalendarYear,MONTH(MarSun1+7)=3),MarSun1+7,""))</f>
        <v>42064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42065</v>
      </c>
      <c r="C7" s="18">
        <f>IF(DAY(MarSun1)=1,IF(AND(YEAR(MarSun1+2)=CalendarYear,MONTH(MarSun1+2)=3),MarSun1+2,""),IF(AND(YEAR(MarSun1+9)=CalendarYear,MONTH(MarSun1+9)=3),MarSun1+9,""))</f>
        <v>42066</v>
      </c>
      <c r="D7" s="18">
        <f>IF(DAY(MarSun1)=1,IF(AND(YEAR(MarSun1+3)=CalendarYear,MONTH(MarSun1+3)=3),MarSun1+3,""),IF(AND(YEAR(MarSun1+10)=CalendarYear,MONTH(MarSun1+10)=3),MarSun1+10,""))</f>
        <v>42067</v>
      </c>
      <c r="E7" s="18">
        <f>IF(DAY(MarSun1)=1,IF(AND(YEAR(MarSun1+4)=CalendarYear,MONTH(MarSun1+4)=3),MarSun1+4,""),IF(AND(YEAR(MarSun1+11)=CalendarYear,MONTH(MarSun1+11)=3),MarSun1+11,""))</f>
        <v>42068</v>
      </c>
      <c r="F7" s="18">
        <f>IF(DAY(MarSun1)=1,IF(AND(YEAR(MarSun1+5)=CalendarYear,MONTH(MarSun1+5)=3),MarSun1+5,""),IF(AND(YEAR(MarSun1+12)=CalendarYear,MONTH(MarSun1+12)=3),MarSun1+12,""))</f>
        <v>42069</v>
      </c>
      <c r="G7" s="18">
        <f>IF(DAY(MarSun1)=1,IF(AND(YEAR(MarSun1+6)=CalendarYear,MONTH(MarSun1+6)=3),MarSun1+6,""),IF(AND(YEAR(MarSun1+13)=CalendarYear,MONTH(MarSun1+13)=3),MarSun1+13,""))</f>
        <v>42070</v>
      </c>
      <c r="H7" s="18">
        <f>IF(DAY(MarSun1)=1,IF(AND(YEAR(MarSun1+7)=CalendarYear,MONTH(MarSun1+7)=3),MarSun1+7,""),IF(AND(YEAR(MarSun1+14)=CalendarYear,MONTH(MarSun1+14)=3),MarSun1+14,""))</f>
        <v>42071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42072</v>
      </c>
      <c r="C9" s="19">
        <f>IF(DAY(MarSun1)=1,IF(AND(YEAR(MarSun1+9)=CalendarYear,MONTH(MarSun1+9)=3),MarSun1+9,""),IF(AND(YEAR(MarSun1+16)=CalendarYear,MONTH(MarSun1+16)=3),MarSun1+16,""))</f>
        <v>42073</v>
      </c>
      <c r="D9" s="19">
        <f>IF(DAY(MarSun1)=1,IF(AND(YEAR(MarSun1+10)=CalendarYear,MONTH(MarSun1+10)=3),MarSun1+10,""),IF(AND(YEAR(MarSun1+17)=CalendarYear,MONTH(MarSun1+17)=3),MarSun1+17,""))</f>
        <v>42074</v>
      </c>
      <c r="E9" s="19">
        <f>IF(DAY(MarSun1)=1,IF(AND(YEAR(MarSun1+11)=CalendarYear,MONTH(MarSun1+11)=3),MarSun1+11,""),IF(AND(YEAR(MarSun1+18)=CalendarYear,MONTH(MarSun1+18)=3),MarSun1+18,""))</f>
        <v>42075</v>
      </c>
      <c r="F9" s="19">
        <f>IF(DAY(MarSun1)=1,IF(AND(YEAR(MarSun1+12)=CalendarYear,MONTH(MarSun1+12)=3),MarSun1+12,""),IF(AND(YEAR(MarSun1+19)=CalendarYear,MONTH(MarSun1+19)=3),MarSun1+19,""))</f>
        <v>42076</v>
      </c>
      <c r="G9" s="19">
        <f>IF(DAY(MarSun1)=1,IF(AND(YEAR(MarSun1+13)=CalendarYear,MONTH(MarSun1+13)=3),MarSun1+13,""),IF(AND(YEAR(MarSun1+20)=CalendarYear,MONTH(MarSun1+20)=3),MarSun1+20,""))</f>
        <v>42077</v>
      </c>
      <c r="H9" s="19">
        <f>IF(DAY(MarSun1)=1,IF(AND(YEAR(MarSun1+14)=CalendarYear,MONTH(MarSun1+14)=3),MarSun1+14,""),IF(AND(YEAR(MarSun1+21)=CalendarYear,MONTH(MarSun1+21)=3),MarSun1+21,""))</f>
        <v>42078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42079</v>
      </c>
      <c r="C11" s="20">
        <f>IF(DAY(MarSun1)=1,IF(AND(YEAR(MarSun1+16)=CalendarYear,MONTH(MarSun1+16)=3),MarSun1+16,""),IF(AND(YEAR(MarSun1+23)=CalendarYear,MONTH(MarSun1+23)=3),MarSun1+23,""))</f>
        <v>42080</v>
      </c>
      <c r="D11" s="20">
        <f>IF(DAY(MarSun1)=1,IF(AND(YEAR(MarSun1+17)=CalendarYear,MONTH(MarSun1+17)=3),MarSun1+17,""),IF(AND(YEAR(MarSun1+24)=CalendarYear,MONTH(MarSun1+24)=3),MarSun1+24,""))</f>
        <v>42081</v>
      </c>
      <c r="E11" s="20">
        <f>IF(DAY(MarSun1)=1,IF(AND(YEAR(MarSun1+18)=CalendarYear,MONTH(MarSun1+18)=3),MarSun1+18,""),IF(AND(YEAR(MarSun1+25)=CalendarYear,MONTH(MarSun1+25)=3),MarSun1+25,""))</f>
        <v>42082</v>
      </c>
      <c r="F11" s="20">
        <f>IF(DAY(MarSun1)=1,IF(AND(YEAR(MarSun1+19)=CalendarYear,MONTH(MarSun1+19)=3),MarSun1+19,""),IF(AND(YEAR(MarSun1+26)=CalendarYear,MONTH(MarSun1+26)=3),MarSun1+26,""))</f>
        <v>42083</v>
      </c>
      <c r="G11" s="20">
        <f>IF(DAY(MarSun1)=1,IF(AND(YEAR(MarSun1+20)=CalendarYear,MONTH(MarSun1+20)=3),MarSun1+20,""),IF(AND(YEAR(MarSun1+27)=CalendarYear,MONTH(MarSun1+27)=3),MarSun1+27,""))</f>
        <v>42084</v>
      </c>
      <c r="H11" s="20">
        <f>IF(DAY(MarSun1)=1,IF(AND(YEAR(MarSun1+21)=CalendarYear,MONTH(MarSun1+21)=3),MarSun1+21,""),IF(AND(YEAR(MarSun1+28)=CalendarYear,MONTH(MarSun1+28)=3),MarSun1+28,""))</f>
        <v>42085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42086</v>
      </c>
      <c r="C13" s="19">
        <f>IF(DAY(MarSun1)=1,IF(AND(YEAR(MarSun1+23)=CalendarYear,MONTH(MarSun1+23)=3),MarSun1+23,""),IF(AND(YEAR(MarSun1+30)=CalendarYear,MONTH(MarSun1+30)=3),MarSun1+30,""))</f>
        <v>42087</v>
      </c>
      <c r="D13" s="19">
        <f>IF(DAY(MarSun1)=1,IF(AND(YEAR(MarSun1+24)=CalendarYear,MONTH(MarSun1+24)=3),MarSun1+24,""),IF(AND(YEAR(MarSun1+31)=CalendarYear,MONTH(MarSun1+31)=3),MarSun1+31,""))</f>
        <v>42088</v>
      </c>
      <c r="E13" s="19">
        <f>IF(DAY(MarSun1)=1,IF(AND(YEAR(MarSun1+25)=CalendarYear,MONTH(MarSun1+25)=3),MarSun1+25,""),IF(AND(YEAR(MarSun1+32)=CalendarYear,MONTH(MarSun1+32)=3),MarSun1+32,""))</f>
        <v>42089</v>
      </c>
      <c r="F13" s="19">
        <f>IF(DAY(MarSun1)=1,IF(AND(YEAR(MarSun1+26)=CalendarYear,MONTH(MarSun1+26)=3),MarSun1+26,""),IF(AND(YEAR(MarSun1+33)=CalendarYear,MONTH(MarSun1+33)=3),MarSun1+33,""))</f>
        <v>42090</v>
      </c>
      <c r="G13" s="19">
        <f>IF(DAY(MarSun1)=1,IF(AND(YEAR(MarSun1+27)=CalendarYear,MONTH(MarSun1+27)=3),MarSun1+27,""),IF(AND(YEAR(MarSun1+34)=CalendarYear,MONTH(MarSun1+34)=3),MarSun1+34,""))</f>
        <v>42091</v>
      </c>
      <c r="H13" s="19">
        <f>IF(DAY(MarSun1)=1,IF(AND(YEAR(MarSun1+28)=CalendarYear,MONTH(MarSun1+28)=3),MarSun1+28,""),IF(AND(YEAR(MarSun1+35)=CalendarYear,MONTH(MarSun1+35)=3),MarSun1+35,""))</f>
        <v>42092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IF(DAY(MarSun1)=1,IF(AND(YEAR(MarSun1+29)=CalendarYear,MONTH(MarSun1+29)=3),MarSun1+29,""),IF(AND(YEAR(MarSun1+36)=CalendarYear,MONTH(MarSun1+36)=3),MarSun1+36,""))</f>
        <v>42093</v>
      </c>
      <c r="C15" s="21">
        <f>IF(DAY(MarSun1)=1,IF(AND(YEAR(MarSun1+30)=CalendarYear,MONTH(MarSun1+30)=3),MarSun1+30,""),IF(AND(YEAR(MarSun1+37)=CalendarYear,MONTH(MarSun1+37)=3),MarSun1+37,""))</f>
        <v>42094</v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UPPER(TEXT(DATE(CalendarYear,4,1),"mmmm yyyy"))</f>
        <v>APRIL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>
        <f>IF(DAY(AprSun1)=1,"",IF(AND(YEAR(AprSun1+3)=CalendarYear,MONTH(AprSun1+3)=4),AprSun1+3,""))</f>
        <v>42095</v>
      </c>
      <c r="E5" s="17">
        <f>IF(DAY(AprSun1)=1,"",IF(AND(YEAR(AprSun1+4)=CalendarYear,MONTH(AprSun1+4)=4),AprSun1+4,""))</f>
        <v>42096</v>
      </c>
      <c r="F5" s="17">
        <f>IF(DAY(AprSun1)=1,"",IF(AND(YEAR(AprSun1+5)=CalendarYear,MONTH(AprSun1+5)=4),AprSun1+5,""))</f>
        <v>42097</v>
      </c>
      <c r="G5" s="17">
        <f>IF(DAY(AprSun1)=1,"",IF(AND(YEAR(AprSun1+6)=CalendarYear,MONTH(AprSun1+6)=4),AprSun1+6,""))</f>
        <v>42098</v>
      </c>
      <c r="H5" s="17">
        <f>IF(DAY(AprSun1)=1,IF(AND(YEAR(AprSun1)=CalendarYear,MONTH(AprSun1)=4),AprSun1,""),IF(AND(YEAR(AprSun1+7)=CalendarYear,MONTH(AprSun1+7)=4),AprSun1+7,""))</f>
        <v>42099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42100</v>
      </c>
      <c r="C7" s="18">
        <f>IF(DAY(AprSun1)=1,IF(AND(YEAR(AprSun1+2)=CalendarYear,MONTH(AprSun1+2)=4),AprSun1+2,""),IF(AND(YEAR(AprSun1+9)=CalendarYear,MONTH(AprSun1+9)=4),AprSun1+9,""))</f>
        <v>42101</v>
      </c>
      <c r="D7" s="18">
        <f>IF(DAY(AprSun1)=1,IF(AND(YEAR(AprSun1+3)=CalendarYear,MONTH(AprSun1+3)=4),AprSun1+3,""),IF(AND(YEAR(AprSun1+10)=CalendarYear,MONTH(AprSun1+10)=4),AprSun1+10,""))</f>
        <v>42102</v>
      </c>
      <c r="E7" s="18">
        <f>IF(DAY(AprSun1)=1,IF(AND(YEAR(AprSun1+4)=CalendarYear,MONTH(AprSun1+4)=4),AprSun1+4,""),IF(AND(YEAR(AprSun1+11)=CalendarYear,MONTH(AprSun1+11)=4),AprSun1+11,""))</f>
        <v>42103</v>
      </c>
      <c r="F7" s="18">
        <f>IF(DAY(AprSun1)=1,IF(AND(YEAR(AprSun1+5)=CalendarYear,MONTH(AprSun1+5)=4),AprSun1+5,""),IF(AND(YEAR(AprSun1+12)=CalendarYear,MONTH(AprSun1+12)=4),AprSun1+12,""))</f>
        <v>42104</v>
      </c>
      <c r="G7" s="18">
        <f>IF(DAY(AprSun1)=1,IF(AND(YEAR(AprSun1+6)=CalendarYear,MONTH(AprSun1+6)=4),AprSun1+6,""),IF(AND(YEAR(AprSun1+13)=CalendarYear,MONTH(AprSun1+13)=4),AprSun1+13,""))</f>
        <v>42105</v>
      </c>
      <c r="H7" s="18">
        <f>IF(DAY(AprSun1)=1,IF(AND(YEAR(AprSun1+7)=CalendarYear,MONTH(AprSun1+7)=4),AprSun1+7,""),IF(AND(YEAR(AprSun1+14)=CalendarYear,MONTH(AprSun1+14)=4),AprSun1+14,""))</f>
        <v>42106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42107</v>
      </c>
      <c r="C9" s="19">
        <f>IF(DAY(AprSun1)=1,IF(AND(YEAR(AprSun1+9)=CalendarYear,MONTH(AprSun1+9)=4),AprSun1+9,""),IF(AND(YEAR(AprSun1+16)=CalendarYear,MONTH(AprSun1+16)=4),AprSun1+16,""))</f>
        <v>42108</v>
      </c>
      <c r="D9" s="19">
        <f>IF(DAY(AprSun1)=1,IF(AND(YEAR(AprSun1+10)=CalendarYear,MONTH(AprSun1+10)=4),AprSun1+10,""),IF(AND(YEAR(AprSun1+17)=CalendarYear,MONTH(AprSun1+17)=4),AprSun1+17,""))</f>
        <v>42109</v>
      </c>
      <c r="E9" s="19">
        <f>IF(DAY(AprSun1)=1,IF(AND(YEAR(AprSun1+11)=CalendarYear,MONTH(AprSun1+11)=4),AprSun1+11,""),IF(AND(YEAR(AprSun1+18)=CalendarYear,MONTH(AprSun1+18)=4),AprSun1+18,""))</f>
        <v>42110</v>
      </c>
      <c r="F9" s="19">
        <f>IF(DAY(AprSun1)=1,IF(AND(YEAR(AprSun1+12)=CalendarYear,MONTH(AprSun1+12)=4),AprSun1+12,""),IF(AND(YEAR(AprSun1+19)=CalendarYear,MONTH(AprSun1+19)=4),AprSun1+19,""))</f>
        <v>42111</v>
      </c>
      <c r="G9" s="19">
        <f>IF(DAY(AprSun1)=1,IF(AND(YEAR(AprSun1+13)=CalendarYear,MONTH(AprSun1+13)=4),AprSun1+13,""),IF(AND(YEAR(AprSun1+20)=CalendarYear,MONTH(AprSun1+20)=4),AprSun1+20,""))</f>
        <v>42112</v>
      </c>
      <c r="H9" s="19">
        <f>IF(DAY(AprSun1)=1,IF(AND(YEAR(AprSun1+14)=CalendarYear,MONTH(AprSun1+14)=4),AprSun1+14,""),IF(AND(YEAR(AprSun1+21)=CalendarYear,MONTH(AprSun1+21)=4),AprSun1+21,""))</f>
        <v>42113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42114</v>
      </c>
      <c r="C11" s="20">
        <f>IF(DAY(AprSun1)=1,IF(AND(YEAR(AprSun1+16)=CalendarYear,MONTH(AprSun1+16)=4),AprSun1+16,""),IF(AND(YEAR(AprSun1+23)=CalendarYear,MONTH(AprSun1+23)=4),AprSun1+23,""))</f>
        <v>42115</v>
      </c>
      <c r="D11" s="20">
        <f>IF(DAY(AprSun1)=1,IF(AND(YEAR(AprSun1+17)=CalendarYear,MONTH(AprSun1+17)=4),AprSun1+17,""),IF(AND(YEAR(AprSun1+24)=CalendarYear,MONTH(AprSun1+24)=4),AprSun1+24,""))</f>
        <v>42116</v>
      </c>
      <c r="E11" s="20">
        <f>IF(DAY(AprSun1)=1,IF(AND(YEAR(AprSun1+18)=CalendarYear,MONTH(AprSun1+18)=4),AprSun1+18,""),IF(AND(YEAR(AprSun1+25)=CalendarYear,MONTH(AprSun1+25)=4),AprSun1+25,""))</f>
        <v>42117</v>
      </c>
      <c r="F11" s="20">
        <f>IF(DAY(AprSun1)=1,IF(AND(YEAR(AprSun1+19)=CalendarYear,MONTH(AprSun1+19)=4),AprSun1+19,""),IF(AND(YEAR(AprSun1+26)=CalendarYear,MONTH(AprSun1+26)=4),AprSun1+26,""))</f>
        <v>42118</v>
      </c>
      <c r="G11" s="20">
        <f>IF(DAY(AprSun1)=1,IF(AND(YEAR(AprSun1+20)=CalendarYear,MONTH(AprSun1+20)=4),AprSun1+20,""),IF(AND(YEAR(AprSun1+27)=CalendarYear,MONTH(AprSun1+27)=4),AprSun1+27,""))</f>
        <v>42119</v>
      </c>
      <c r="H11" s="20">
        <f>IF(DAY(AprSun1)=1,IF(AND(YEAR(AprSun1+21)=CalendarYear,MONTH(AprSun1+21)=4),AprSun1+21,""),IF(AND(YEAR(AprSun1+28)=CalendarYear,MONTH(AprSun1+28)=4),AprSun1+28,""))</f>
        <v>42120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42121</v>
      </c>
      <c r="C13" s="19">
        <f>IF(DAY(AprSun1)=1,IF(AND(YEAR(AprSun1+23)=CalendarYear,MONTH(AprSun1+23)=4),AprSun1+23,""),IF(AND(YEAR(AprSun1+30)=CalendarYear,MONTH(AprSun1+30)=4),AprSun1+30,""))</f>
        <v>42122</v>
      </c>
      <c r="D13" s="19">
        <f>IF(DAY(AprSun1)=1,IF(AND(YEAR(AprSun1+24)=CalendarYear,MONTH(AprSun1+24)=4),AprSun1+24,""),IF(AND(YEAR(AprSun1+31)=CalendarYear,MONTH(AprSun1+31)=4),AprSun1+31,""))</f>
        <v>42123</v>
      </c>
      <c r="E13" s="19">
        <f>IF(DAY(AprSun1)=1,IF(AND(YEAR(AprSun1+25)=CalendarYear,MONTH(AprSun1+25)=4),AprSun1+25,""),IF(AND(YEAR(AprSun1+32)=CalendarYear,MONTH(AprSun1+32)=4),AprSun1+32,""))</f>
        <v>42124</v>
      </c>
      <c r="F13" s="19" t="str">
        <f>IF(DAY(AprSun1)=1,IF(AND(YEAR(AprSun1+26)=CalendarYear,MONTH(AprSun1+26)=4),AprSun1+26,""),IF(AND(YEAR(AprSun1+33)=CalendarYear,MONTH(AprSun1+33)=4),AprSun1+33,""))</f>
        <v/>
      </c>
      <c r="G13" s="19" t="str">
        <f>IF(DAY(AprSun1)=1,IF(AND(YEAR(AprSun1+27)=CalendarYear,MONTH(AprSun1+27)=4),AprSun1+27,""),IF(AND(YEAR(AprSun1+34)=CalendarYear,MONTH(AprSun1+34)=4),AprSun1+34,""))</f>
        <v/>
      </c>
      <c r="H13" s="19" t="str">
        <f>IF(DAY(AprSun1)=1,IF(AND(YEAR(AprSun1+28)=CalendarYear,MONTH(AprSun1+28)=4),AprSun1+28,""),IF(AND(YEAR(AprSun1+35)=CalendarYear,MONTH(AprSun1+35)=4),AprSun1+35,""))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IF(DAY(AprSun1)=1,IF(AND(YEAR(AprSun1+29)=CalendarYear,MONTH(AprSun1+29)=4),AprSun1+29,""),IF(AND(YEAR(AprSun1+36)=CalendarYear,MONTH(AprSun1+36)=4),AprSun1+36,""))</f>
        <v/>
      </c>
      <c r="C15" s="21" t="str">
        <f>IF(DAY(AprSun1)=1,IF(AND(YEAR(AprSun1+30)=CalendarYear,MONTH(AprSun1+30)=4),AprSun1+30,""),IF(AND(YEAR(AprSun1+37)=CalendarYear,MONTH(AprSun1+37)=4),AprSun1+37,""))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UPPER(TEXT(DATE(CalendarYear,5,1),"mmmm yyyy"))</f>
        <v>MAY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 t="str">
        <f>IF(DAY(MaySun1)=1,"",IF(AND(YEAR(MaySun1+2)=CalendarYear,MONTH(MaySun1+2)=5),MaySun1+2,""))</f>
        <v/>
      </c>
      <c r="D5" s="17" t="str">
        <f>IF(DAY(MaySun1)=1,"",IF(AND(YEAR(MaySun1+3)=CalendarYear,MONTH(MaySun1+3)=5),MaySun1+3,""))</f>
        <v/>
      </c>
      <c r="E5" s="17" t="str">
        <f>IF(DAY(MaySun1)=1,"",IF(AND(YEAR(MaySun1+4)=CalendarYear,MONTH(MaySun1+4)=5),MaySun1+4,""))</f>
        <v/>
      </c>
      <c r="F5" s="17">
        <f>IF(DAY(MaySun1)=1,"",IF(AND(YEAR(MaySun1+5)=CalendarYear,MONTH(MaySun1+5)=5),MaySun1+5,""))</f>
        <v>42125</v>
      </c>
      <c r="G5" s="17">
        <f>IF(DAY(MaySun1)=1,"",IF(AND(YEAR(MaySun1+6)=CalendarYear,MONTH(MaySun1+6)=5),MaySun1+6,""))</f>
        <v>42126</v>
      </c>
      <c r="H5" s="17">
        <f>IF(DAY(MaySun1)=1,IF(AND(YEAR(MaySun1)=CalendarYear,MONTH(MaySun1)=5),MaySun1,""),IF(AND(YEAR(MaySun1+7)=CalendarYear,MONTH(MaySun1+7)=5),MaySun1+7,""))</f>
        <v>42127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42128</v>
      </c>
      <c r="C7" s="18">
        <f>IF(DAY(MaySun1)=1,IF(AND(YEAR(MaySun1+2)=CalendarYear,MONTH(MaySun1+2)=5),MaySun1+2,""),IF(AND(YEAR(MaySun1+9)=CalendarYear,MONTH(MaySun1+9)=5),MaySun1+9,""))</f>
        <v>42129</v>
      </c>
      <c r="D7" s="18">
        <f>IF(DAY(MaySun1)=1,IF(AND(YEAR(MaySun1+3)=CalendarYear,MONTH(MaySun1+3)=5),MaySun1+3,""),IF(AND(YEAR(MaySun1+10)=CalendarYear,MONTH(MaySun1+10)=5),MaySun1+10,""))</f>
        <v>42130</v>
      </c>
      <c r="E7" s="18">
        <f>IF(DAY(MaySun1)=1,IF(AND(YEAR(MaySun1+4)=CalendarYear,MONTH(MaySun1+4)=5),MaySun1+4,""),IF(AND(YEAR(MaySun1+11)=CalendarYear,MONTH(MaySun1+11)=5),MaySun1+11,""))</f>
        <v>42131</v>
      </c>
      <c r="F7" s="18">
        <f>IF(DAY(MaySun1)=1,IF(AND(YEAR(MaySun1+5)=CalendarYear,MONTH(MaySun1+5)=5),MaySun1+5,""),IF(AND(YEAR(MaySun1+12)=CalendarYear,MONTH(MaySun1+12)=5),MaySun1+12,""))</f>
        <v>42132</v>
      </c>
      <c r="G7" s="18">
        <f>IF(DAY(MaySun1)=1,IF(AND(YEAR(MaySun1+6)=CalendarYear,MONTH(MaySun1+6)=5),MaySun1+6,""),IF(AND(YEAR(MaySun1+13)=CalendarYear,MONTH(MaySun1+13)=5),MaySun1+13,""))</f>
        <v>42133</v>
      </c>
      <c r="H7" s="18">
        <f>IF(DAY(MaySun1)=1,IF(AND(YEAR(MaySun1+7)=CalendarYear,MONTH(MaySun1+7)=5),MaySun1+7,""),IF(AND(YEAR(MaySun1+14)=CalendarYear,MONTH(MaySun1+14)=5),MaySun1+14,""))</f>
        <v>42134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42135</v>
      </c>
      <c r="C9" s="19">
        <f>IF(DAY(MaySun1)=1,IF(AND(YEAR(MaySun1+9)=CalendarYear,MONTH(MaySun1+9)=5),MaySun1+9,""),IF(AND(YEAR(MaySun1+16)=CalendarYear,MONTH(MaySun1+16)=5),MaySun1+16,""))</f>
        <v>42136</v>
      </c>
      <c r="D9" s="19">
        <f>IF(DAY(MaySun1)=1,IF(AND(YEAR(MaySun1+10)=CalendarYear,MONTH(MaySun1+10)=5),MaySun1+10,""),IF(AND(YEAR(MaySun1+17)=CalendarYear,MONTH(MaySun1+17)=5),MaySun1+17,""))</f>
        <v>42137</v>
      </c>
      <c r="E9" s="19">
        <f>IF(DAY(MaySun1)=1,IF(AND(YEAR(MaySun1+11)=CalendarYear,MONTH(MaySun1+11)=5),MaySun1+11,""),IF(AND(YEAR(MaySun1+18)=CalendarYear,MONTH(MaySun1+18)=5),MaySun1+18,""))</f>
        <v>42138</v>
      </c>
      <c r="F9" s="19">
        <f>IF(DAY(MaySun1)=1,IF(AND(YEAR(MaySun1+12)=CalendarYear,MONTH(MaySun1+12)=5),MaySun1+12,""),IF(AND(YEAR(MaySun1+19)=CalendarYear,MONTH(MaySun1+19)=5),MaySun1+19,""))</f>
        <v>42139</v>
      </c>
      <c r="G9" s="19">
        <f>IF(DAY(MaySun1)=1,IF(AND(YEAR(MaySun1+13)=CalendarYear,MONTH(MaySun1+13)=5),MaySun1+13,""),IF(AND(YEAR(MaySun1+20)=CalendarYear,MONTH(MaySun1+20)=5),MaySun1+20,""))</f>
        <v>42140</v>
      </c>
      <c r="H9" s="19">
        <f>IF(DAY(MaySun1)=1,IF(AND(YEAR(MaySun1+14)=CalendarYear,MONTH(MaySun1+14)=5),MaySun1+14,""),IF(AND(YEAR(MaySun1+21)=CalendarYear,MONTH(MaySun1+21)=5),MaySun1+21,""))</f>
        <v>42141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42142</v>
      </c>
      <c r="C11" s="20">
        <f>IF(DAY(MaySun1)=1,IF(AND(YEAR(MaySun1+16)=CalendarYear,MONTH(MaySun1+16)=5),MaySun1+16,""),IF(AND(YEAR(MaySun1+23)=CalendarYear,MONTH(MaySun1+23)=5),MaySun1+23,""))</f>
        <v>42143</v>
      </c>
      <c r="D11" s="20">
        <f>IF(DAY(MaySun1)=1,IF(AND(YEAR(MaySun1+17)=CalendarYear,MONTH(MaySun1+17)=5),MaySun1+17,""),IF(AND(YEAR(MaySun1+24)=CalendarYear,MONTH(MaySun1+24)=5),MaySun1+24,""))</f>
        <v>42144</v>
      </c>
      <c r="E11" s="20">
        <f>IF(DAY(MaySun1)=1,IF(AND(YEAR(MaySun1+18)=CalendarYear,MONTH(MaySun1+18)=5),MaySun1+18,""),IF(AND(YEAR(MaySun1+25)=CalendarYear,MONTH(MaySun1+25)=5),MaySun1+25,""))</f>
        <v>42145</v>
      </c>
      <c r="F11" s="20">
        <f>IF(DAY(MaySun1)=1,IF(AND(YEAR(MaySun1+19)=CalendarYear,MONTH(MaySun1+19)=5),MaySun1+19,""),IF(AND(YEAR(MaySun1+26)=CalendarYear,MONTH(MaySun1+26)=5),MaySun1+26,""))</f>
        <v>42146</v>
      </c>
      <c r="G11" s="20">
        <f>IF(DAY(MaySun1)=1,IF(AND(YEAR(MaySun1+20)=CalendarYear,MONTH(MaySun1+20)=5),MaySun1+20,""),IF(AND(YEAR(MaySun1+27)=CalendarYear,MONTH(MaySun1+27)=5),MaySun1+27,""))</f>
        <v>42147</v>
      </c>
      <c r="H11" s="20">
        <f>IF(DAY(MaySun1)=1,IF(AND(YEAR(MaySun1+21)=CalendarYear,MONTH(MaySun1+21)=5),MaySun1+21,""),IF(AND(YEAR(MaySun1+28)=CalendarYear,MONTH(MaySun1+28)=5),MaySun1+28,""))</f>
        <v>42148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42149</v>
      </c>
      <c r="C13" s="19">
        <f>IF(DAY(MaySun1)=1,IF(AND(YEAR(MaySun1+23)=CalendarYear,MONTH(MaySun1+23)=5),MaySun1+23,""),IF(AND(YEAR(MaySun1+30)=CalendarYear,MONTH(MaySun1+30)=5),MaySun1+30,""))</f>
        <v>42150</v>
      </c>
      <c r="D13" s="19">
        <f>IF(DAY(MaySun1)=1,IF(AND(YEAR(MaySun1+24)=CalendarYear,MONTH(MaySun1+24)=5),MaySun1+24,""),IF(AND(YEAR(MaySun1+31)=CalendarYear,MONTH(MaySun1+31)=5),MaySun1+31,""))</f>
        <v>42151</v>
      </c>
      <c r="E13" s="19">
        <f>IF(DAY(MaySun1)=1,IF(AND(YEAR(MaySun1+25)=CalendarYear,MONTH(MaySun1+25)=5),MaySun1+25,""),IF(AND(YEAR(MaySun1+32)=CalendarYear,MONTH(MaySun1+32)=5),MaySun1+32,""))</f>
        <v>42152</v>
      </c>
      <c r="F13" s="19">
        <f>IF(DAY(MaySun1)=1,IF(AND(YEAR(MaySun1+26)=CalendarYear,MONTH(MaySun1+26)=5),MaySun1+26,""),IF(AND(YEAR(MaySun1+33)=CalendarYear,MONTH(MaySun1+33)=5),MaySun1+33,""))</f>
        <v>42153</v>
      </c>
      <c r="G13" s="19">
        <f>IF(DAY(MaySun1)=1,IF(AND(YEAR(MaySun1+27)=CalendarYear,MONTH(MaySun1+27)=5),MaySun1+27,""),IF(AND(YEAR(MaySun1+34)=CalendarYear,MONTH(MaySun1+34)=5),MaySun1+34,""))</f>
        <v>42154</v>
      </c>
      <c r="H13" s="19">
        <f>IF(DAY(MaySun1)=1,IF(AND(YEAR(MaySun1+28)=CalendarYear,MONTH(MaySun1+28)=5),MaySun1+28,""),IF(AND(YEAR(MaySun1+35)=CalendarYear,MONTH(MaySun1+35)=5),MaySun1+35,""))</f>
        <v>42155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UPPER(TEXT(DATE(CalendarYear,6,1),"mmmm yyyy"))</f>
        <v>JUNE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IF(DAY(JunSun1)=1,"",IF(AND(YEAR(JunSun1+1)=CalendarYear,MONTH(JunSun1+1)=6),JunSun1+1,""))</f>
        <v>42156</v>
      </c>
      <c r="C5" s="17">
        <f>IF(DAY(JunSun1)=1,"",IF(AND(YEAR(JunSun1+2)=CalendarYear,MONTH(JunSun1+2)=6),JunSun1+2,""))</f>
        <v>42157</v>
      </c>
      <c r="D5" s="17">
        <f>IF(DAY(JunSun1)=1,"",IF(AND(YEAR(JunSun1+3)=CalendarYear,MONTH(JunSun1+3)=6),JunSun1+3,""))</f>
        <v>42158</v>
      </c>
      <c r="E5" s="17">
        <f>IF(DAY(JunSun1)=1,"",IF(AND(YEAR(JunSun1+4)=CalendarYear,MONTH(JunSun1+4)=6),JunSun1+4,""))</f>
        <v>42159</v>
      </c>
      <c r="F5" s="17">
        <f>IF(DAY(JunSun1)=1,"",IF(AND(YEAR(JunSun1+5)=CalendarYear,MONTH(JunSun1+5)=6),JunSun1+5,""))</f>
        <v>42160</v>
      </c>
      <c r="G5" s="17">
        <f>IF(DAY(JunSun1)=1,"",IF(AND(YEAR(JunSun1+6)=CalendarYear,MONTH(JunSun1+6)=6),JunSun1+6,""))</f>
        <v>42161</v>
      </c>
      <c r="H5" s="17">
        <f>IF(DAY(JunSun1)=1,IF(AND(YEAR(JunSun1)=CalendarYear,MONTH(JunSun1)=6),JunSun1,""),IF(AND(YEAR(JunSun1+7)=CalendarYear,MONTH(JunSun1+7)=6),JunSun1+7,""))</f>
        <v>42162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42163</v>
      </c>
      <c r="C7" s="18">
        <f>IF(DAY(JunSun1)=1,IF(AND(YEAR(JunSun1+2)=CalendarYear,MONTH(JunSun1+2)=6),JunSun1+2,""),IF(AND(YEAR(JunSun1+9)=CalendarYear,MONTH(JunSun1+9)=6),JunSun1+9,""))</f>
        <v>42164</v>
      </c>
      <c r="D7" s="18">
        <f>IF(DAY(JunSun1)=1,IF(AND(YEAR(JunSun1+3)=CalendarYear,MONTH(JunSun1+3)=6),JunSun1+3,""),IF(AND(YEAR(JunSun1+10)=CalendarYear,MONTH(JunSun1+10)=6),JunSun1+10,""))</f>
        <v>42165</v>
      </c>
      <c r="E7" s="18">
        <f>IF(DAY(JunSun1)=1,IF(AND(YEAR(JunSun1+4)=CalendarYear,MONTH(JunSun1+4)=6),JunSun1+4,""),IF(AND(YEAR(JunSun1+11)=CalendarYear,MONTH(JunSun1+11)=6),JunSun1+11,""))</f>
        <v>42166</v>
      </c>
      <c r="F7" s="18">
        <f>IF(DAY(JunSun1)=1,IF(AND(YEAR(JunSun1+5)=CalendarYear,MONTH(JunSun1+5)=6),JunSun1+5,""),IF(AND(YEAR(JunSun1+12)=CalendarYear,MONTH(JunSun1+12)=6),JunSun1+12,""))</f>
        <v>42167</v>
      </c>
      <c r="G7" s="18">
        <f>IF(DAY(JunSun1)=1,IF(AND(YEAR(JunSun1+6)=CalendarYear,MONTH(JunSun1+6)=6),JunSun1+6,""),IF(AND(YEAR(JunSun1+13)=CalendarYear,MONTH(JunSun1+13)=6),JunSun1+13,""))</f>
        <v>42168</v>
      </c>
      <c r="H7" s="18">
        <f>IF(DAY(JunSun1)=1,IF(AND(YEAR(JunSun1+7)=CalendarYear,MONTH(JunSun1+7)=6),JunSun1+7,""),IF(AND(YEAR(JunSun1+14)=CalendarYear,MONTH(JunSun1+14)=6),JunSun1+14,""))</f>
        <v>42169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42170</v>
      </c>
      <c r="C9" s="19">
        <f>IF(DAY(JunSun1)=1,IF(AND(YEAR(JunSun1+9)=CalendarYear,MONTH(JunSun1+9)=6),JunSun1+9,""),IF(AND(YEAR(JunSun1+16)=CalendarYear,MONTH(JunSun1+16)=6),JunSun1+16,""))</f>
        <v>42171</v>
      </c>
      <c r="D9" s="19">
        <f>IF(DAY(JunSun1)=1,IF(AND(YEAR(JunSun1+10)=CalendarYear,MONTH(JunSun1+10)=6),JunSun1+10,""),IF(AND(YEAR(JunSun1+17)=CalendarYear,MONTH(JunSun1+17)=6),JunSun1+17,""))</f>
        <v>42172</v>
      </c>
      <c r="E9" s="19">
        <f>IF(DAY(JunSun1)=1,IF(AND(YEAR(JunSun1+11)=CalendarYear,MONTH(JunSun1+11)=6),JunSun1+11,""),IF(AND(YEAR(JunSun1+18)=CalendarYear,MONTH(JunSun1+18)=6),JunSun1+18,""))</f>
        <v>42173</v>
      </c>
      <c r="F9" s="19">
        <f>IF(DAY(JunSun1)=1,IF(AND(YEAR(JunSun1+12)=CalendarYear,MONTH(JunSun1+12)=6),JunSun1+12,""),IF(AND(YEAR(JunSun1+19)=CalendarYear,MONTH(JunSun1+19)=6),JunSun1+19,""))</f>
        <v>42174</v>
      </c>
      <c r="G9" s="19">
        <f>IF(DAY(JunSun1)=1,IF(AND(YEAR(JunSun1+13)=CalendarYear,MONTH(JunSun1+13)=6),JunSun1+13,""),IF(AND(YEAR(JunSun1+20)=CalendarYear,MONTH(JunSun1+20)=6),JunSun1+20,""))</f>
        <v>42175</v>
      </c>
      <c r="H9" s="19">
        <f>IF(DAY(JunSun1)=1,IF(AND(YEAR(JunSun1+14)=CalendarYear,MONTH(JunSun1+14)=6),JunSun1+14,""),IF(AND(YEAR(JunSun1+21)=CalendarYear,MONTH(JunSun1+21)=6),JunSun1+21,""))</f>
        <v>42176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42177</v>
      </c>
      <c r="C11" s="20">
        <f>IF(DAY(JunSun1)=1,IF(AND(YEAR(JunSun1+16)=CalendarYear,MONTH(JunSun1+16)=6),JunSun1+16,""),IF(AND(YEAR(JunSun1+23)=CalendarYear,MONTH(JunSun1+23)=6),JunSun1+23,""))</f>
        <v>42178</v>
      </c>
      <c r="D11" s="20">
        <f>IF(DAY(JunSun1)=1,IF(AND(YEAR(JunSun1+17)=CalendarYear,MONTH(JunSun1+17)=6),JunSun1+17,""),IF(AND(YEAR(JunSun1+24)=CalendarYear,MONTH(JunSun1+24)=6),JunSun1+24,""))</f>
        <v>42179</v>
      </c>
      <c r="E11" s="20">
        <f>IF(DAY(JunSun1)=1,IF(AND(YEAR(JunSun1+18)=CalendarYear,MONTH(JunSun1+18)=6),JunSun1+18,""),IF(AND(YEAR(JunSun1+25)=CalendarYear,MONTH(JunSun1+25)=6),JunSun1+25,""))</f>
        <v>42180</v>
      </c>
      <c r="F11" s="20">
        <f>IF(DAY(JunSun1)=1,IF(AND(YEAR(JunSun1+19)=CalendarYear,MONTH(JunSun1+19)=6),JunSun1+19,""),IF(AND(YEAR(JunSun1+26)=CalendarYear,MONTH(JunSun1+26)=6),JunSun1+26,""))</f>
        <v>42181</v>
      </c>
      <c r="G11" s="20">
        <f>IF(DAY(JunSun1)=1,IF(AND(YEAR(JunSun1+20)=CalendarYear,MONTH(JunSun1+20)=6),JunSun1+20,""),IF(AND(YEAR(JunSun1+27)=CalendarYear,MONTH(JunSun1+27)=6),JunSun1+27,""))</f>
        <v>42182</v>
      </c>
      <c r="H11" s="20">
        <f>IF(DAY(JunSun1)=1,IF(AND(YEAR(JunSun1+21)=CalendarYear,MONTH(JunSun1+21)=6),JunSun1+21,""),IF(AND(YEAR(JunSun1+28)=CalendarYear,MONTH(JunSun1+28)=6),JunSun1+28,""))</f>
        <v>42183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42184</v>
      </c>
      <c r="C13" s="19">
        <f>IF(DAY(JunSun1)=1,IF(AND(YEAR(JunSun1+23)=CalendarYear,MONTH(JunSun1+23)=6),JunSun1+23,""),IF(AND(YEAR(JunSun1+30)=CalendarYear,MONTH(JunSun1+30)=6),JunSun1+30,""))</f>
        <v>42185</v>
      </c>
      <c r="D13" s="19" t="str">
        <f>IF(DAY(JunSun1)=1,IF(AND(YEAR(JunSun1+24)=CalendarYear,MONTH(JunSun1+24)=6),JunSun1+24,""),IF(AND(YEAR(JunSun1+31)=CalendarYear,MONTH(JunSun1+31)=6),JunSun1+31,""))</f>
        <v/>
      </c>
      <c r="E13" s="19" t="str">
        <f>IF(DAY(JunSun1)=1,IF(AND(YEAR(JunSun1+25)=CalendarYear,MONTH(JunSun1+25)=6),JunSun1+25,""),IF(AND(YEAR(JunSun1+32)=CalendarYear,MONTH(JunSun1+32)=6),JunSun1+32,""))</f>
        <v/>
      </c>
      <c r="F13" s="19" t="str">
        <f>IF(DAY(JunSun1)=1,IF(AND(YEAR(JunSun1+26)=CalendarYear,MONTH(JunSun1+26)=6),JunSun1+26,""),IF(AND(YEAR(JunSun1+33)=CalendarYear,MONTH(JunSun1+33)=6),JunSun1+33,""))</f>
        <v/>
      </c>
      <c r="G13" s="19" t="str">
        <f>IF(DAY(JunSun1)=1,IF(AND(YEAR(JunSun1+27)=CalendarYear,MONTH(JunSun1+27)=6),JunSun1+27,""),IF(AND(YEAR(JunSun1+34)=CalendarYear,MONTH(JunSun1+34)=6),JunSun1+34,""))</f>
        <v/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UPPER(TEXT(DATE(CalendarYear,7,1),"mmmm yyyy"))</f>
        <v>JULY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>
        <f>IF(DAY(JulSun1)=1,"",IF(AND(YEAR(JulSun1+3)=CalendarYear,MONTH(JulSun1+3)=7),JulSun1+3,""))</f>
        <v>42186</v>
      </c>
      <c r="E5" s="17">
        <f>IF(DAY(JulSun1)=1,"",IF(AND(YEAR(JulSun1+4)=CalendarYear,MONTH(JulSun1+4)=7),JulSun1+4,""))</f>
        <v>42187</v>
      </c>
      <c r="F5" s="17">
        <f>IF(DAY(JulSun1)=1,"",IF(AND(YEAR(JulSun1+5)=CalendarYear,MONTH(JulSun1+5)=7),JulSun1+5,""))</f>
        <v>42188</v>
      </c>
      <c r="G5" s="17">
        <f>IF(DAY(JulSun1)=1,"",IF(AND(YEAR(JulSun1+6)=CalendarYear,MONTH(JulSun1+6)=7),JulSun1+6,""))</f>
        <v>42189</v>
      </c>
      <c r="H5" s="17">
        <f>IF(DAY(JulSun1)=1,IF(AND(YEAR(JulSun1)=CalendarYear,MONTH(JulSun1)=7),JulSun1,""),IF(AND(YEAR(JulSun1+7)=CalendarYear,MONTH(JulSun1+7)=7),JulSun1+7,""))</f>
        <v>42190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42191</v>
      </c>
      <c r="C7" s="18">
        <f>IF(DAY(JulSun1)=1,IF(AND(YEAR(JulSun1+2)=CalendarYear,MONTH(JulSun1+2)=7),JulSun1+2,""),IF(AND(YEAR(JulSun1+9)=CalendarYear,MONTH(JulSun1+9)=7),JulSun1+9,""))</f>
        <v>42192</v>
      </c>
      <c r="D7" s="18">
        <f>IF(DAY(JulSun1)=1,IF(AND(YEAR(JulSun1+3)=CalendarYear,MONTH(JulSun1+3)=7),JulSun1+3,""),IF(AND(YEAR(JulSun1+10)=CalendarYear,MONTH(JulSun1+10)=7),JulSun1+10,""))</f>
        <v>42193</v>
      </c>
      <c r="E7" s="18">
        <f>IF(DAY(JulSun1)=1,IF(AND(YEAR(JulSun1+4)=CalendarYear,MONTH(JulSun1+4)=7),JulSun1+4,""),IF(AND(YEAR(JulSun1+11)=CalendarYear,MONTH(JulSun1+11)=7),JulSun1+11,""))</f>
        <v>42194</v>
      </c>
      <c r="F7" s="18">
        <f>IF(DAY(JulSun1)=1,IF(AND(YEAR(JulSun1+5)=CalendarYear,MONTH(JulSun1+5)=7),JulSun1+5,""),IF(AND(YEAR(JulSun1+12)=CalendarYear,MONTH(JulSun1+12)=7),JulSun1+12,""))</f>
        <v>42195</v>
      </c>
      <c r="G7" s="18">
        <f>IF(DAY(JulSun1)=1,IF(AND(YEAR(JulSun1+6)=CalendarYear,MONTH(JulSun1+6)=7),JulSun1+6,""),IF(AND(YEAR(JulSun1+13)=CalendarYear,MONTH(JulSun1+13)=7),JulSun1+13,""))</f>
        <v>42196</v>
      </c>
      <c r="H7" s="18">
        <f>IF(DAY(JulSun1)=1,IF(AND(YEAR(JulSun1+7)=CalendarYear,MONTH(JulSun1+7)=7),JulSun1+7,""),IF(AND(YEAR(JulSun1+14)=CalendarYear,MONTH(JulSun1+14)=7),JulSun1+14,""))</f>
        <v>42197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42198</v>
      </c>
      <c r="C9" s="19">
        <f>IF(DAY(JulSun1)=1,IF(AND(YEAR(JulSun1+9)=CalendarYear,MONTH(JulSun1+9)=7),JulSun1+9,""),IF(AND(YEAR(JulSun1+16)=CalendarYear,MONTH(JulSun1+16)=7),JulSun1+16,""))</f>
        <v>42199</v>
      </c>
      <c r="D9" s="19">
        <f>IF(DAY(JulSun1)=1,IF(AND(YEAR(JulSun1+10)=CalendarYear,MONTH(JulSun1+10)=7),JulSun1+10,""),IF(AND(YEAR(JulSun1+17)=CalendarYear,MONTH(JulSun1+17)=7),JulSun1+17,""))</f>
        <v>42200</v>
      </c>
      <c r="E9" s="19">
        <f>IF(DAY(JulSun1)=1,IF(AND(YEAR(JulSun1+11)=CalendarYear,MONTH(JulSun1+11)=7),JulSun1+11,""),IF(AND(YEAR(JulSun1+18)=CalendarYear,MONTH(JulSun1+18)=7),JulSun1+18,""))</f>
        <v>42201</v>
      </c>
      <c r="F9" s="19">
        <f>IF(DAY(JulSun1)=1,IF(AND(YEAR(JulSun1+12)=CalendarYear,MONTH(JulSun1+12)=7),JulSun1+12,""),IF(AND(YEAR(JulSun1+19)=CalendarYear,MONTH(JulSun1+19)=7),JulSun1+19,""))</f>
        <v>42202</v>
      </c>
      <c r="G9" s="19">
        <f>IF(DAY(JulSun1)=1,IF(AND(YEAR(JulSun1+13)=CalendarYear,MONTH(JulSun1+13)=7),JulSun1+13,""),IF(AND(YEAR(JulSun1+20)=CalendarYear,MONTH(JulSun1+20)=7),JulSun1+20,""))</f>
        <v>42203</v>
      </c>
      <c r="H9" s="19">
        <f>IF(DAY(JulSun1)=1,IF(AND(YEAR(JulSun1+14)=CalendarYear,MONTH(JulSun1+14)=7),JulSun1+14,""),IF(AND(YEAR(JulSun1+21)=CalendarYear,MONTH(JulSun1+21)=7),JulSun1+21,""))</f>
        <v>42204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42205</v>
      </c>
      <c r="C11" s="20">
        <f>IF(DAY(JulSun1)=1,IF(AND(YEAR(JulSun1+16)=CalendarYear,MONTH(JulSun1+16)=7),JulSun1+16,""),IF(AND(YEAR(JulSun1+23)=CalendarYear,MONTH(JulSun1+23)=7),JulSun1+23,""))</f>
        <v>42206</v>
      </c>
      <c r="D11" s="20">
        <f>IF(DAY(JulSun1)=1,IF(AND(YEAR(JulSun1+17)=CalendarYear,MONTH(JulSun1+17)=7),JulSun1+17,""),IF(AND(YEAR(JulSun1+24)=CalendarYear,MONTH(JulSun1+24)=7),JulSun1+24,""))</f>
        <v>42207</v>
      </c>
      <c r="E11" s="20">
        <f>IF(DAY(JulSun1)=1,IF(AND(YEAR(JulSun1+18)=CalendarYear,MONTH(JulSun1+18)=7),JulSun1+18,""),IF(AND(YEAR(JulSun1+25)=CalendarYear,MONTH(JulSun1+25)=7),JulSun1+25,""))</f>
        <v>42208</v>
      </c>
      <c r="F11" s="20">
        <f>IF(DAY(JulSun1)=1,IF(AND(YEAR(JulSun1+19)=CalendarYear,MONTH(JulSun1+19)=7),JulSun1+19,""),IF(AND(YEAR(JulSun1+26)=CalendarYear,MONTH(JulSun1+26)=7),JulSun1+26,""))</f>
        <v>42209</v>
      </c>
      <c r="G11" s="20">
        <f>IF(DAY(JulSun1)=1,IF(AND(YEAR(JulSun1+20)=CalendarYear,MONTH(JulSun1+20)=7),JulSun1+20,""),IF(AND(YEAR(JulSun1+27)=CalendarYear,MONTH(JulSun1+27)=7),JulSun1+27,""))</f>
        <v>42210</v>
      </c>
      <c r="H11" s="20">
        <f>IF(DAY(JulSun1)=1,IF(AND(YEAR(JulSun1+21)=CalendarYear,MONTH(JulSun1+21)=7),JulSun1+21,""),IF(AND(YEAR(JulSun1+28)=CalendarYear,MONTH(JulSun1+28)=7),JulSun1+28,""))</f>
        <v>42211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42212</v>
      </c>
      <c r="C13" s="19">
        <f>IF(DAY(JulSun1)=1,IF(AND(YEAR(JulSun1+23)=CalendarYear,MONTH(JulSun1+23)=7),JulSun1+23,""),IF(AND(YEAR(JulSun1+30)=CalendarYear,MONTH(JulSun1+30)=7),JulSun1+30,""))</f>
        <v>42213</v>
      </c>
      <c r="D13" s="19">
        <f>IF(DAY(JulSun1)=1,IF(AND(YEAR(JulSun1+24)=CalendarYear,MONTH(JulSun1+24)=7),JulSun1+24,""),IF(AND(YEAR(JulSun1+31)=CalendarYear,MONTH(JulSun1+31)=7),JulSun1+31,""))</f>
        <v>42214</v>
      </c>
      <c r="E13" s="19">
        <f>IF(DAY(JulSun1)=1,IF(AND(YEAR(JulSun1+25)=CalendarYear,MONTH(JulSun1+25)=7),JulSun1+25,""),IF(AND(YEAR(JulSun1+32)=CalendarYear,MONTH(JulSun1+32)=7),JulSun1+32,""))</f>
        <v>42215</v>
      </c>
      <c r="F13" s="19">
        <f>IF(DAY(JulSun1)=1,IF(AND(YEAR(JulSun1+26)=CalendarYear,MONTH(JulSun1+26)=7),JulSun1+26,""),IF(AND(YEAR(JulSun1+33)=CalendarYear,MONTH(JulSun1+33)=7),JulSun1+33,""))</f>
        <v>42216</v>
      </c>
      <c r="G13" s="19" t="str">
        <f>IF(DAY(JulSun1)=1,IF(AND(YEAR(JulSun1+27)=CalendarYear,MONTH(JulSun1+27)=7),JulSun1+27,""),IF(AND(YEAR(JulSun1+34)=CalendarYear,MONTH(JulSun1+34)=7),JulSun1+34,""))</f>
        <v/>
      </c>
      <c r="H13" s="19" t="str">
        <f>IF(DAY(JulSun1)=1,IF(AND(YEAR(JulSun1+28)=CalendarYear,MONTH(JulSun1+28)=7),JulSun1+28,""),IF(AND(YEAR(JulSun1+35)=CalendarYear,MONTH(JulSun1+35)=7),JulSun1+35,""))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IF(DAY(JulSun1)=1,IF(AND(YEAR(JulSun1+29)=CalendarYear,MONTH(JulSun1+29)=7),JulSun1+29,""),IF(AND(YEAR(JulSun1+36)=CalendarYear,MONTH(JulSun1+36)=7),JulSun1+36,""))</f>
        <v/>
      </c>
      <c r="C15" s="21" t="str">
        <f>IF(DAY(JulSun1)=1,IF(AND(YEAR(JulSun1+30)=CalendarYear,MONTH(JulSun1+30)=7),JulSun1+30,""),IF(AND(YEAR(JulSun1+37)=CalendarYear,MONTH(JulSun1+37)=7),JulSun1+37,""))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UPPER(TEXT(DATE(CalendarYear,8,1),"mmmm yyyy"))</f>
        <v>AUGUST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 t="str">
        <f>IF(DAY(AugSun1)=1,"",IF(AND(YEAR(AugSun1+3)=CalendarYear,MONTH(AugSun1+3)=8),AugSun1+3,""))</f>
        <v/>
      </c>
      <c r="E5" s="17" t="str">
        <f>IF(DAY(AugSun1)=1,"",IF(AND(YEAR(AugSun1+4)=CalendarYear,MONTH(AugSun1+4)=8),AugSun1+4,""))</f>
        <v/>
      </c>
      <c r="F5" s="17" t="str">
        <f>IF(DAY(AugSun1)=1,"",IF(AND(YEAR(AugSun1+5)=CalendarYear,MONTH(AugSun1+5)=8),AugSun1+5,""))</f>
        <v/>
      </c>
      <c r="G5" s="17">
        <f>IF(DAY(AugSun1)=1,"",IF(AND(YEAR(AugSun1+6)=CalendarYear,MONTH(AugSun1+6)=8),AugSun1+6,""))</f>
        <v>42217</v>
      </c>
      <c r="H5" s="17">
        <f>IF(DAY(AugSun1)=1,IF(AND(YEAR(AugSun1)=CalendarYear,MONTH(AugSun1)=8),AugSun1,""),IF(AND(YEAR(AugSun1+7)=CalendarYear,MONTH(AugSun1+7)=8),AugSun1+7,""))</f>
        <v>42218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42219</v>
      </c>
      <c r="C7" s="18">
        <f>IF(DAY(AugSun1)=1,IF(AND(YEAR(AugSun1+2)=CalendarYear,MONTH(AugSun1+2)=8),AugSun1+2,""),IF(AND(YEAR(AugSun1+9)=CalendarYear,MONTH(AugSun1+9)=8),AugSun1+9,""))</f>
        <v>42220</v>
      </c>
      <c r="D7" s="18">
        <f>IF(DAY(AugSun1)=1,IF(AND(YEAR(AugSun1+3)=CalendarYear,MONTH(AugSun1+3)=8),AugSun1+3,""),IF(AND(YEAR(AugSun1+10)=CalendarYear,MONTH(AugSun1+10)=8),AugSun1+10,""))</f>
        <v>42221</v>
      </c>
      <c r="E7" s="18">
        <f>IF(DAY(AugSun1)=1,IF(AND(YEAR(AugSun1+4)=CalendarYear,MONTH(AugSun1+4)=8),AugSun1+4,""),IF(AND(YEAR(AugSun1+11)=CalendarYear,MONTH(AugSun1+11)=8),AugSun1+11,""))</f>
        <v>42222</v>
      </c>
      <c r="F7" s="18">
        <f>IF(DAY(AugSun1)=1,IF(AND(YEAR(AugSun1+5)=CalendarYear,MONTH(AugSun1+5)=8),AugSun1+5,""),IF(AND(YEAR(AugSun1+12)=CalendarYear,MONTH(AugSun1+12)=8),AugSun1+12,""))</f>
        <v>42223</v>
      </c>
      <c r="G7" s="18">
        <f>IF(DAY(AugSun1)=1,IF(AND(YEAR(AugSun1+6)=CalendarYear,MONTH(AugSun1+6)=8),AugSun1+6,""),IF(AND(YEAR(AugSun1+13)=CalendarYear,MONTH(AugSun1+13)=8),AugSun1+13,""))</f>
        <v>42224</v>
      </c>
      <c r="H7" s="18">
        <f>IF(DAY(AugSun1)=1,IF(AND(YEAR(AugSun1+7)=CalendarYear,MONTH(AugSun1+7)=8),AugSun1+7,""),IF(AND(YEAR(AugSun1+14)=CalendarYear,MONTH(AugSun1+14)=8),AugSun1+14,""))</f>
        <v>42225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42226</v>
      </c>
      <c r="C9" s="19">
        <f>IF(DAY(AugSun1)=1,IF(AND(YEAR(AugSun1+9)=CalendarYear,MONTH(AugSun1+9)=8),AugSun1+9,""),IF(AND(YEAR(AugSun1+16)=CalendarYear,MONTH(AugSun1+16)=8),AugSun1+16,""))</f>
        <v>42227</v>
      </c>
      <c r="D9" s="19">
        <f>IF(DAY(AugSun1)=1,IF(AND(YEAR(AugSun1+10)=CalendarYear,MONTH(AugSun1+10)=8),AugSun1+10,""),IF(AND(YEAR(AugSun1+17)=CalendarYear,MONTH(AugSun1+17)=8),AugSun1+17,""))</f>
        <v>42228</v>
      </c>
      <c r="E9" s="19">
        <f>IF(DAY(AugSun1)=1,IF(AND(YEAR(AugSun1+11)=CalendarYear,MONTH(AugSun1+11)=8),AugSun1+11,""),IF(AND(YEAR(AugSun1+18)=CalendarYear,MONTH(AugSun1+18)=8),AugSun1+18,""))</f>
        <v>42229</v>
      </c>
      <c r="F9" s="19">
        <f>IF(DAY(AugSun1)=1,IF(AND(YEAR(AugSun1+12)=CalendarYear,MONTH(AugSun1+12)=8),AugSun1+12,""),IF(AND(YEAR(AugSun1+19)=CalendarYear,MONTH(AugSun1+19)=8),AugSun1+19,""))</f>
        <v>42230</v>
      </c>
      <c r="G9" s="19">
        <f>IF(DAY(AugSun1)=1,IF(AND(YEAR(AugSun1+13)=CalendarYear,MONTH(AugSun1+13)=8),AugSun1+13,""),IF(AND(YEAR(AugSun1+20)=CalendarYear,MONTH(AugSun1+20)=8),AugSun1+20,""))</f>
        <v>42231</v>
      </c>
      <c r="H9" s="19">
        <f>IF(DAY(AugSun1)=1,IF(AND(YEAR(AugSun1+14)=CalendarYear,MONTH(AugSun1+14)=8),AugSun1+14,""),IF(AND(YEAR(AugSun1+21)=CalendarYear,MONTH(AugSun1+21)=8),AugSun1+21,""))</f>
        <v>42232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42233</v>
      </c>
      <c r="C11" s="20">
        <f>IF(DAY(AugSun1)=1,IF(AND(YEAR(AugSun1+16)=CalendarYear,MONTH(AugSun1+16)=8),AugSun1+16,""),IF(AND(YEAR(AugSun1+23)=CalendarYear,MONTH(AugSun1+23)=8),AugSun1+23,""))</f>
        <v>42234</v>
      </c>
      <c r="D11" s="20">
        <f>IF(DAY(AugSun1)=1,IF(AND(YEAR(AugSun1+17)=CalendarYear,MONTH(AugSun1+17)=8),AugSun1+17,""),IF(AND(YEAR(AugSun1+24)=CalendarYear,MONTH(AugSun1+24)=8),AugSun1+24,""))</f>
        <v>42235</v>
      </c>
      <c r="E11" s="20">
        <f>IF(DAY(AugSun1)=1,IF(AND(YEAR(AugSun1+18)=CalendarYear,MONTH(AugSun1+18)=8),AugSun1+18,""),IF(AND(YEAR(AugSun1+25)=CalendarYear,MONTH(AugSun1+25)=8),AugSun1+25,""))</f>
        <v>42236</v>
      </c>
      <c r="F11" s="20">
        <f>IF(DAY(AugSun1)=1,IF(AND(YEAR(AugSun1+19)=CalendarYear,MONTH(AugSun1+19)=8),AugSun1+19,""),IF(AND(YEAR(AugSun1+26)=CalendarYear,MONTH(AugSun1+26)=8),AugSun1+26,""))</f>
        <v>42237</v>
      </c>
      <c r="G11" s="20">
        <f>IF(DAY(AugSun1)=1,IF(AND(YEAR(AugSun1+20)=CalendarYear,MONTH(AugSun1+20)=8),AugSun1+20,""),IF(AND(YEAR(AugSun1+27)=CalendarYear,MONTH(AugSun1+27)=8),AugSun1+27,""))</f>
        <v>42238</v>
      </c>
      <c r="H11" s="20">
        <f>IF(DAY(AugSun1)=1,IF(AND(YEAR(AugSun1+21)=CalendarYear,MONTH(AugSun1+21)=8),AugSun1+21,""),IF(AND(YEAR(AugSun1+28)=CalendarYear,MONTH(AugSun1+28)=8),AugSun1+28,""))</f>
        <v>42239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42240</v>
      </c>
      <c r="C13" s="19">
        <f>IF(DAY(AugSun1)=1,IF(AND(YEAR(AugSun1+23)=CalendarYear,MONTH(AugSun1+23)=8),AugSun1+23,""),IF(AND(YEAR(AugSun1+30)=CalendarYear,MONTH(AugSun1+30)=8),AugSun1+30,""))</f>
        <v>42241</v>
      </c>
      <c r="D13" s="19">
        <f>IF(DAY(AugSun1)=1,IF(AND(YEAR(AugSun1+24)=CalendarYear,MONTH(AugSun1+24)=8),AugSun1+24,""),IF(AND(YEAR(AugSun1+31)=CalendarYear,MONTH(AugSun1+31)=8),AugSun1+31,""))</f>
        <v>42242</v>
      </c>
      <c r="E13" s="19">
        <f>IF(DAY(AugSun1)=1,IF(AND(YEAR(AugSun1+25)=CalendarYear,MONTH(AugSun1+25)=8),AugSun1+25,""),IF(AND(YEAR(AugSun1+32)=CalendarYear,MONTH(AugSun1+32)=8),AugSun1+32,""))</f>
        <v>42243</v>
      </c>
      <c r="F13" s="19">
        <f>IF(DAY(AugSun1)=1,IF(AND(YEAR(AugSun1+26)=CalendarYear,MONTH(AugSun1+26)=8),AugSun1+26,""),IF(AND(YEAR(AugSun1+33)=CalendarYear,MONTH(AugSun1+33)=8),AugSun1+33,""))</f>
        <v>42244</v>
      </c>
      <c r="G13" s="19">
        <f>IF(DAY(AugSun1)=1,IF(AND(YEAR(AugSun1+27)=CalendarYear,MONTH(AugSun1+27)=8),AugSun1+27,""),IF(AND(YEAR(AugSun1+34)=CalendarYear,MONTH(AugSun1+34)=8),AugSun1+34,""))</f>
        <v>42245</v>
      </c>
      <c r="H13" s="19">
        <f>IF(DAY(AugSun1)=1,IF(AND(YEAR(AugSun1+28)=CalendarYear,MONTH(AugSun1+28)=8),AugSun1+28,""),IF(AND(YEAR(AugSun1+35)=CalendarYear,MONTH(AugSun1+35)=8),AugSun1+35,""))</f>
        <v>42246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IF(DAY(AugSun1)=1,IF(AND(YEAR(AugSun1+29)=CalendarYear,MONTH(AugSun1+29)=8),AugSun1+29,""),IF(AND(YEAR(AugSun1+36)=CalendarYear,MONTH(AugSun1+36)=8),AugSun1+36,""))</f>
        <v>42247</v>
      </c>
      <c r="C15" s="21" t="str">
        <f>IF(DAY(AugSun1)=1,IF(AND(YEAR(AugSun1+30)=CalendarYear,MONTH(AugSun1+30)=8),AugSun1+30,""),IF(AND(YEAR(AugSun1+37)=CalendarYear,MONTH(AugSun1+37)=8),AugSun1+37,""))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41" t="str">
        <f>UPPER(TEXT(DATE(CalendarYear,9,1),"mmmm yyyy"))</f>
        <v>SEPTEMBER 2015</v>
      </c>
      <c r="C3" s="41"/>
      <c r="D3" s="41"/>
      <c r="E3" s="41"/>
      <c r="F3" s="41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>
        <f>IF(DAY(SepSun1)=1,"",IF(AND(YEAR(SepSun1+2)=CalendarYear,MONTH(SepSun1+2)=9),SepSun1+2,""))</f>
        <v>42248</v>
      </c>
      <c r="D5" s="17">
        <f>IF(DAY(SepSun1)=1,"",IF(AND(YEAR(SepSun1+3)=CalendarYear,MONTH(SepSun1+3)=9),SepSun1+3,""))</f>
        <v>42249</v>
      </c>
      <c r="E5" s="17">
        <f>IF(DAY(SepSun1)=1,"",IF(AND(YEAR(SepSun1+4)=CalendarYear,MONTH(SepSun1+4)=9),SepSun1+4,""))</f>
        <v>42250</v>
      </c>
      <c r="F5" s="17">
        <f>IF(DAY(SepSun1)=1,"",IF(AND(YEAR(SepSun1+5)=CalendarYear,MONTH(SepSun1+5)=9),SepSun1+5,""))</f>
        <v>42251</v>
      </c>
      <c r="G5" s="17">
        <f>IF(DAY(SepSun1)=1,"",IF(AND(YEAR(SepSun1+6)=CalendarYear,MONTH(SepSun1+6)=9),SepSun1+6,""))</f>
        <v>42252</v>
      </c>
      <c r="H5" s="17">
        <f>IF(DAY(SepSun1)=1,IF(AND(YEAR(SepSun1)=CalendarYear,MONTH(SepSun1)=9),SepSun1,""),IF(AND(YEAR(SepSun1+7)=CalendarYear,MONTH(SepSun1+7)=9),SepSun1+7,""))</f>
        <v>42253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42254</v>
      </c>
      <c r="C7" s="18">
        <f>IF(DAY(SepSun1)=1,IF(AND(YEAR(SepSun1+2)=CalendarYear,MONTH(SepSun1+2)=9),SepSun1+2,""),IF(AND(YEAR(SepSun1+9)=CalendarYear,MONTH(SepSun1+9)=9),SepSun1+9,""))</f>
        <v>42255</v>
      </c>
      <c r="D7" s="18">
        <f>IF(DAY(SepSun1)=1,IF(AND(YEAR(SepSun1+3)=CalendarYear,MONTH(SepSun1+3)=9),SepSun1+3,""),IF(AND(YEAR(SepSun1+10)=CalendarYear,MONTH(SepSun1+10)=9),SepSun1+10,""))</f>
        <v>42256</v>
      </c>
      <c r="E7" s="18">
        <f>IF(DAY(SepSun1)=1,IF(AND(YEAR(SepSun1+4)=CalendarYear,MONTH(SepSun1+4)=9),SepSun1+4,""),IF(AND(YEAR(SepSun1+11)=CalendarYear,MONTH(SepSun1+11)=9),SepSun1+11,""))</f>
        <v>42257</v>
      </c>
      <c r="F7" s="18">
        <f>IF(DAY(SepSun1)=1,IF(AND(YEAR(SepSun1+5)=CalendarYear,MONTH(SepSun1+5)=9),SepSun1+5,""),IF(AND(YEAR(SepSun1+12)=CalendarYear,MONTH(SepSun1+12)=9),SepSun1+12,""))</f>
        <v>42258</v>
      </c>
      <c r="G7" s="18">
        <f>IF(DAY(SepSun1)=1,IF(AND(YEAR(SepSun1+6)=CalendarYear,MONTH(SepSun1+6)=9),SepSun1+6,""),IF(AND(YEAR(SepSun1+13)=CalendarYear,MONTH(SepSun1+13)=9),SepSun1+13,""))</f>
        <v>42259</v>
      </c>
      <c r="H7" s="18">
        <f>IF(DAY(SepSun1)=1,IF(AND(YEAR(SepSun1+7)=CalendarYear,MONTH(SepSun1+7)=9),SepSun1+7,""),IF(AND(YEAR(SepSun1+14)=CalendarYear,MONTH(SepSun1+14)=9),SepSun1+14,""))</f>
        <v>42260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42261</v>
      </c>
      <c r="C9" s="19">
        <f>IF(DAY(SepSun1)=1,IF(AND(YEAR(SepSun1+9)=CalendarYear,MONTH(SepSun1+9)=9),SepSun1+9,""),IF(AND(YEAR(SepSun1+16)=CalendarYear,MONTH(SepSun1+16)=9),SepSun1+16,""))</f>
        <v>42262</v>
      </c>
      <c r="D9" s="19">
        <f>IF(DAY(SepSun1)=1,IF(AND(YEAR(SepSun1+10)=CalendarYear,MONTH(SepSun1+10)=9),SepSun1+10,""),IF(AND(YEAR(SepSun1+17)=CalendarYear,MONTH(SepSun1+17)=9),SepSun1+17,""))</f>
        <v>42263</v>
      </c>
      <c r="E9" s="19">
        <f>IF(DAY(SepSun1)=1,IF(AND(YEAR(SepSun1+11)=CalendarYear,MONTH(SepSun1+11)=9),SepSun1+11,""),IF(AND(YEAR(SepSun1+18)=CalendarYear,MONTH(SepSun1+18)=9),SepSun1+18,""))</f>
        <v>42264</v>
      </c>
      <c r="F9" s="19">
        <f>IF(DAY(SepSun1)=1,IF(AND(YEAR(SepSun1+12)=CalendarYear,MONTH(SepSun1+12)=9),SepSun1+12,""),IF(AND(YEAR(SepSun1+19)=CalendarYear,MONTH(SepSun1+19)=9),SepSun1+19,""))</f>
        <v>42265</v>
      </c>
      <c r="G9" s="19">
        <f>IF(DAY(SepSun1)=1,IF(AND(YEAR(SepSun1+13)=CalendarYear,MONTH(SepSun1+13)=9),SepSun1+13,""),IF(AND(YEAR(SepSun1+20)=CalendarYear,MONTH(SepSun1+20)=9),SepSun1+20,""))</f>
        <v>42266</v>
      </c>
      <c r="H9" s="19">
        <f>IF(DAY(SepSun1)=1,IF(AND(YEAR(SepSun1+14)=CalendarYear,MONTH(SepSun1+14)=9),SepSun1+14,""),IF(AND(YEAR(SepSun1+21)=CalendarYear,MONTH(SepSun1+21)=9),SepSun1+21,""))</f>
        <v>42267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42268</v>
      </c>
      <c r="C11" s="20">
        <f>IF(DAY(SepSun1)=1,IF(AND(YEAR(SepSun1+16)=CalendarYear,MONTH(SepSun1+16)=9),SepSun1+16,""),IF(AND(YEAR(SepSun1+23)=CalendarYear,MONTH(SepSun1+23)=9),SepSun1+23,""))</f>
        <v>42269</v>
      </c>
      <c r="D11" s="20">
        <f>IF(DAY(SepSun1)=1,IF(AND(YEAR(SepSun1+17)=CalendarYear,MONTH(SepSun1+17)=9),SepSun1+17,""),IF(AND(YEAR(SepSun1+24)=CalendarYear,MONTH(SepSun1+24)=9),SepSun1+24,""))</f>
        <v>42270</v>
      </c>
      <c r="E11" s="20">
        <f>IF(DAY(SepSun1)=1,IF(AND(YEAR(SepSun1+18)=CalendarYear,MONTH(SepSun1+18)=9),SepSun1+18,""),IF(AND(YEAR(SepSun1+25)=CalendarYear,MONTH(SepSun1+25)=9),SepSun1+25,""))</f>
        <v>42271</v>
      </c>
      <c r="F11" s="20">
        <f>IF(DAY(SepSun1)=1,IF(AND(YEAR(SepSun1+19)=CalendarYear,MONTH(SepSun1+19)=9),SepSun1+19,""),IF(AND(YEAR(SepSun1+26)=CalendarYear,MONTH(SepSun1+26)=9),SepSun1+26,""))</f>
        <v>42272</v>
      </c>
      <c r="G11" s="20">
        <f>IF(DAY(SepSun1)=1,IF(AND(YEAR(SepSun1+20)=CalendarYear,MONTH(SepSun1+20)=9),SepSun1+20,""),IF(AND(YEAR(SepSun1+27)=CalendarYear,MONTH(SepSun1+27)=9),SepSun1+27,""))</f>
        <v>42273</v>
      </c>
      <c r="H11" s="20">
        <f>IF(DAY(SepSun1)=1,IF(AND(YEAR(SepSun1+21)=CalendarYear,MONTH(SepSun1+21)=9),SepSun1+21,""),IF(AND(YEAR(SepSun1+28)=CalendarYear,MONTH(SepSun1+28)=9),SepSun1+28,""))</f>
        <v>42274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42275</v>
      </c>
      <c r="C13" s="19">
        <f>IF(DAY(SepSun1)=1,IF(AND(YEAR(SepSun1+23)=CalendarYear,MONTH(SepSun1+23)=9),SepSun1+23,""),IF(AND(YEAR(SepSun1+30)=CalendarYear,MONTH(SepSun1+30)=9),SepSun1+30,""))</f>
        <v>42276</v>
      </c>
      <c r="D13" s="19">
        <f>IF(DAY(SepSun1)=1,IF(AND(YEAR(SepSun1+24)=CalendarYear,MONTH(SepSun1+24)=9),SepSun1+24,""),IF(AND(YEAR(SepSun1+31)=CalendarYear,MONTH(SepSun1+31)=9),SepSun1+31,""))</f>
        <v>42277</v>
      </c>
      <c r="E13" s="19" t="str">
        <f>IF(DAY(SepSun1)=1,IF(AND(YEAR(SepSun1+25)=CalendarYear,MONTH(SepSun1+25)=9),SepSun1+25,""),IF(AND(YEAR(SepSun1+32)=CalendarYear,MONTH(SepSun1+32)=9),SepSun1+32,""))</f>
        <v/>
      </c>
      <c r="F13" s="19" t="str">
        <f>IF(DAY(SepSun1)=1,IF(AND(YEAR(SepSun1+26)=CalendarYear,MONTH(SepSun1+26)=9),SepSun1+26,""),IF(AND(YEAR(SepSun1+33)=CalendarYear,MONTH(SepSun1+33)=9),SepSun1+33,""))</f>
        <v/>
      </c>
      <c r="G13" s="19" t="str">
        <f>IF(DAY(SepSun1)=1,IF(AND(YEAR(SepSun1+27)=CalendarYear,MONTH(SepSun1+27)=9),SepSun1+27,""),IF(AND(YEAR(SepSun1+34)=CalendarYear,MONTH(SepSun1+34)=9),SepSun1+34,""))</f>
        <v/>
      </c>
      <c r="H13" s="19" t="str">
        <f>IF(DAY(SepSun1)=1,IF(AND(YEAR(SepSun1+28)=CalendarYear,MONTH(SepSun1+28)=9),SepSun1+28,""),IF(AND(YEAR(SepSun1+35)=CalendarYear,MONTH(SepSun1+35)=9),SepSun1+35,""))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34" t="s">
        <v>7</v>
      </c>
      <c r="E15" s="35"/>
      <c r="F15" s="35"/>
      <c r="G15" s="35"/>
      <c r="H15" s="36"/>
      <c r="I15" s="3"/>
    </row>
    <row r="16" spans="1:18" ht="55.5" customHeight="1" x14ac:dyDescent="0.25">
      <c r="A16"/>
      <c r="B16" s="12"/>
      <c r="C16" s="12"/>
      <c r="D16" s="37"/>
      <c r="E16" s="38"/>
      <c r="F16" s="38"/>
      <c r="G16" s="38"/>
      <c r="H16" s="39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235FE055-26FF-4389-A30B-04D76EE521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2015-07-23T19:23:11Z</dcterms:created>
  <dcterms:modified xsi:type="dcterms:W3CDTF">2015-10-02T16:30:25Z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TC025507569991</vt:lpwstr>
  </property>
</Properties>
</file>